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65"/>
  </bookViews>
  <sheets>
    <sheet name="表" sheetId="13" r:id="rId1"/>
  </sheets>
  <definedNames>
    <definedName name="_xlnm.Print_Titles" localSheetId="0">表!$2:$3</definedName>
    <definedName name="_xlnm._FilterDatabase" localSheetId="0" hidden="1">表!$A$1:$K$138</definedName>
  </definedNames>
  <calcPr calcId="144525" fullPrecision="0"/>
</workbook>
</file>

<file path=xl/sharedStrings.xml><?xml version="1.0" encoding="utf-8"?>
<sst xmlns="http://schemas.openxmlformats.org/spreadsheetml/2006/main" count="157" uniqueCount="53">
  <si>
    <t>附件1：</t>
  </si>
  <si>
    <t>2023年三亚市天涯区教育系统公开招聘编制教师面试成绩及综合成绩表</t>
  </si>
  <si>
    <t>序号</t>
  </si>
  <si>
    <t>报考岗位</t>
  </si>
  <si>
    <t>准考证号</t>
  </si>
  <si>
    <t>姓名</t>
  </si>
  <si>
    <t>笔试成绩</t>
  </si>
  <si>
    <t>笔试成绩
*50%</t>
  </si>
  <si>
    <t>面试成绩</t>
  </si>
  <si>
    <t>面试成绩
*50%</t>
  </si>
  <si>
    <t>综合成绩</t>
  </si>
  <si>
    <t>排名</t>
  </si>
  <si>
    <t>备注</t>
  </si>
  <si>
    <t>0101-初中语文教师 （三亚市第三中学）</t>
  </si>
  <si>
    <t xml:space="preserve">0102-初中数学教师（三亚市第三中学） </t>
  </si>
  <si>
    <t>面试缺考</t>
  </si>
  <si>
    <t>0103-初中语文教师 （三亚市第三中学）</t>
  </si>
  <si>
    <t xml:space="preserve">0104-初中数学教师（三亚市第三中学） </t>
  </si>
  <si>
    <t xml:space="preserve">0105-初中英语教师（三亚市第三中学） </t>
  </si>
  <si>
    <t xml:space="preserve">0106-初中化学教师（三亚市第三中学） </t>
  </si>
  <si>
    <t xml:space="preserve">0107-初中历史教师（三亚市第三中学） </t>
  </si>
  <si>
    <t xml:space="preserve">0108-初中生物教师（三亚市第三中学） </t>
  </si>
  <si>
    <t xml:space="preserve">0109-初中地理教师（三亚市第三中学） </t>
  </si>
  <si>
    <t xml:space="preserve">0110-初中音乐教师（三亚市第三中学） </t>
  </si>
  <si>
    <t>0111-初中数学教师（三亚市凤凰中学）</t>
  </si>
  <si>
    <t>0112-初中道德与法治教师（三亚市凤凰中学）</t>
  </si>
  <si>
    <t>0113-小学语文教师（三亚市第三小学）</t>
  </si>
  <si>
    <t>面试成绩不合格</t>
  </si>
  <si>
    <t>0114-小学数学教师（三亚市第三小学）</t>
  </si>
  <si>
    <t>0115-小学数学教师（三亚市第三小学）</t>
  </si>
  <si>
    <t>0116-小学科学教师（三亚市第三小学）</t>
  </si>
  <si>
    <t>0117-小学道德与法治教师（三亚市第三小学）</t>
  </si>
  <si>
    <t>0118-小学语文教师（三亚市第四小学）</t>
  </si>
  <si>
    <t>0119-小学数学教师（三亚市第四小学）</t>
  </si>
  <si>
    <t>0120-小学科学教师（三亚市第四小学）</t>
  </si>
  <si>
    <t>0121-小学道德与法治教师（三亚市第四小学）</t>
  </si>
  <si>
    <t>0122-小学语文教师（三亚市天涯区金鸡岭小学）</t>
  </si>
  <si>
    <t>0123-小学数学教师（三亚市天涯区金鸡岭小学）</t>
  </si>
  <si>
    <t>0126-小学英语教师（三亚市天涯区金鸡岭小学）</t>
  </si>
  <si>
    <t>0127-小学体育与健康教师（三亚市天涯区金鸡岭小学）</t>
  </si>
  <si>
    <t>0128-小学道德与法治教师（三亚市天涯区金鸡岭小学）</t>
  </si>
  <si>
    <t>0129-小学语文教师（三亚市天涯区回新逸夫小学）</t>
  </si>
  <si>
    <t>0130-小学科学教师（三亚市天涯区回新逸夫小学）</t>
  </si>
  <si>
    <t>0131-小学道德与法治教师（三亚市天涯区回新逸夫小学）</t>
  </si>
  <si>
    <t xml:space="preserve">0132-初中数学教师（三亚市高峰初级中学） </t>
  </si>
  <si>
    <t xml:space="preserve">0133-初中地理教师（三亚市高峰初级中学） </t>
  </si>
  <si>
    <t>0134-小学数学教师（三亚市天涯区西岛小学）</t>
  </si>
  <si>
    <t>面试弃考</t>
  </si>
  <si>
    <t>0135-小学美术教师（三亚市天涯区西岛小学）</t>
  </si>
  <si>
    <t>0136-小学科学教师（三亚市天涯区西岛小学）</t>
  </si>
  <si>
    <t>0137-小学美术教师（三亚市天涯区天涯小学）</t>
  </si>
  <si>
    <t>0138-小学音乐教师（三亚市天涯区天涯小学）</t>
  </si>
  <si>
    <t>0139-小学美术教师（三亚市天涯区水蛟小学）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</si>
</sst>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8">
    <font>
      <sz val="11"/>
      <color theme="1"/>
      <name val="宋体"/>
      <charset val="134"/>
      <scheme val="minor"/>
    </font>
    <font>
      <sz val="13.5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3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177" fontId="0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49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8"/>
  <sheetViews>
    <sheetView tabSelected="1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A2" sqref="A2:K2"/>
    </sheetView>
  </sheetViews>
  <sheetFormatPr defaultColWidth="9" defaultRowHeight="13.5"/>
  <cols>
    <col min="1" max="1" width="8.25" style="3" customWidth="1"/>
    <col min="2" max="2" width="46" style="4" customWidth="1"/>
    <col min="3" max="3" width="17.125" style="3" customWidth="1"/>
    <col min="4" max="4" width="10.875" style="3" customWidth="1"/>
    <col min="5" max="5" width="11.75" style="5" customWidth="1"/>
    <col min="6" max="6" width="11" style="5" customWidth="1"/>
    <col min="7" max="7" width="11.375" style="5" customWidth="1"/>
    <col min="8" max="8" width="11.125" style="5" customWidth="1"/>
    <col min="9" max="9" width="11.5" style="5" customWidth="1"/>
    <col min="10" max="10" width="8.04166666666667" style="3" customWidth="1"/>
    <col min="11" max="11" width="17" style="3" customWidth="1"/>
    <col min="12" max="16384" width="9" style="3"/>
  </cols>
  <sheetData>
    <row r="1" ht="2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3" customHeight="1" spans="1:11">
      <c r="A2" s="7" t="s">
        <v>1</v>
      </c>
      <c r="B2" s="7"/>
      <c r="C2" s="7"/>
      <c r="D2" s="7"/>
      <c r="E2" s="8"/>
      <c r="F2" s="8"/>
      <c r="G2" s="8"/>
      <c r="H2" s="8"/>
      <c r="I2" s="8"/>
      <c r="J2" s="7"/>
      <c r="K2" s="7"/>
    </row>
    <row r="3" s="1" customFormat="1" ht="37" customHeight="1" spans="1:11">
      <c r="A3" s="9" t="s">
        <v>2</v>
      </c>
      <c r="B3" s="10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1" t="s">
        <v>8</v>
      </c>
      <c r="H3" s="12" t="s">
        <v>9</v>
      </c>
      <c r="I3" s="11" t="s">
        <v>10</v>
      </c>
      <c r="J3" s="9" t="s">
        <v>11</v>
      </c>
      <c r="K3" s="9" t="s">
        <v>12</v>
      </c>
    </row>
    <row r="4" s="2" customFormat="1" ht="46" customHeight="1" spans="1:11">
      <c r="A4" s="13">
        <v>1</v>
      </c>
      <c r="B4" s="14" t="s">
        <v>13</v>
      </c>
      <c r="C4" s="13" t="str">
        <f>"202403024303"</f>
        <v>202403024303</v>
      </c>
      <c r="D4" s="13" t="str">
        <f>"王非凡"</f>
        <v>王非凡</v>
      </c>
      <c r="E4" s="15">
        <v>82.46</v>
      </c>
      <c r="F4" s="16">
        <f t="shared" ref="F4:F67" si="0">E4*0.5</f>
        <v>41.23</v>
      </c>
      <c r="G4" s="17">
        <v>71.5</v>
      </c>
      <c r="H4" s="16">
        <f t="shared" ref="H4:H67" si="1">G4*0.5</f>
        <v>35.75</v>
      </c>
      <c r="I4" s="16">
        <f t="shared" ref="I4:I67" si="2">F4+H4</f>
        <v>76.98</v>
      </c>
      <c r="J4" s="13">
        <v>1</v>
      </c>
      <c r="K4" s="13"/>
    </row>
    <row r="5" s="2" customFormat="1" ht="46" customHeight="1" spans="1:11">
      <c r="A5" s="13">
        <v>2</v>
      </c>
      <c r="B5" s="14" t="s">
        <v>13</v>
      </c>
      <c r="C5" s="13" t="str">
        <f>"202403023924"</f>
        <v>202403023924</v>
      </c>
      <c r="D5" s="13" t="str">
        <f>"钟杰"</f>
        <v>钟杰</v>
      </c>
      <c r="E5" s="15">
        <v>79.75</v>
      </c>
      <c r="F5" s="16">
        <f t="shared" si="0"/>
        <v>39.88</v>
      </c>
      <c r="G5" s="17">
        <v>73.17</v>
      </c>
      <c r="H5" s="16">
        <f t="shared" si="1"/>
        <v>36.59</v>
      </c>
      <c r="I5" s="16">
        <f t="shared" si="2"/>
        <v>76.47</v>
      </c>
      <c r="J5" s="13">
        <v>2</v>
      </c>
      <c r="K5" s="13"/>
    </row>
    <row r="6" s="2" customFormat="1" ht="46" customHeight="1" spans="1:11">
      <c r="A6" s="13">
        <v>3</v>
      </c>
      <c r="B6" s="14" t="s">
        <v>13</v>
      </c>
      <c r="C6" s="13" t="str">
        <f>"202403024124"</f>
        <v>202403024124</v>
      </c>
      <c r="D6" s="13" t="str">
        <f>"冯慧"</f>
        <v>冯慧</v>
      </c>
      <c r="E6" s="15">
        <v>80.66</v>
      </c>
      <c r="F6" s="16">
        <f t="shared" si="0"/>
        <v>40.33</v>
      </c>
      <c r="G6" s="17">
        <v>66.83</v>
      </c>
      <c r="H6" s="16">
        <f t="shared" si="1"/>
        <v>33.42</v>
      </c>
      <c r="I6" s="16">
        <f t="shared" si="2"/>
        <v>73.75</v>
      </c>
      <c r="J6" s="13">
        <v>3</v>
      </c>
      <c r="K6" s="13"/>
    </row>
    <row r="7" s="2" customFormat="1" ht="46" customHeight="1" spans="1:11">
      <c r="A7" s="13">
        <v>4</v>
      </c>
      <c r="B7" s="14" t="s">
        <v>14</v>
      </c>
      <c r="C7" s="13" t="str">
        <f>"202403023323"</f>
        <v>202403023323</v>
      </c>
      <c r="D7" s="13" t="str">
        <f>"江筱涵"</f>
        <v>江筱涵</v>
      </c>
      <c r="E7" s="15">
        <v>86.6</v>
      </c>
      <c r="F7" s="16">
        <f t="shared" si="0"/>
        <v>43.3</v>
      </c>
      <c r="G7" s="18">
        <v>74</v>
      </c>
      <c r="H7" s="16">
        <f t="shared" si="1"/>
        <v>37</v>
      </c>
      <c r="I7" s="16">
        <f t="shared" si="2"/>
        <v>80.3</v>
      </c>
      <c r="J7" s="13">
        <v>1</v>
      </c>
      <c r="K7" s="13"/>
    </row>
    <row r="8" s="2" customFormat="1" ht="46" customHeight="1" spans="1:11">
      <c r="A8" s="13">
        <v>5</v>
      </c>
      <c r="B8" s="14" t="s">
        <v>14</v>
      </c>
      <c r="C8" s="13" t="str">
        <f>"202403023401"</f>
        <v>202403023401</v>
      </c>
      <c r="D8" s="13" t="str">
        <f>"董翠"</f>
        <v>董翠</v>
      </c>
      <c r="E8" s="15">
        <v>87.04</v>
      </c>
      <c r="F8" s="16">
        <f t="shared" si="0"/>
        <v>43.52</v>
      </c>
      <c r="G8" s="18">
        <v>69</v>
      </c>
      <c r="H8" s="16">
        <f t="shared" si="1"/>
        <v>34.5</v>
      </c>
      <c r="I8" s="16">
        <f t="shared" si="2"/>
        <v>78.02</v>
      </c>
      <c r="J8" s="13">
        <v>2</v>
      </c>
      <c r="K8" s="13"/>
    </row>
    <row r="9" s="2" customFormat="1" ht="46" customHeight="1" spans="1:11">
      <c r="A9" s="13">
        <v>6</v>
      </c>
      <c r="B9" s="14" t="s">
        <v>14</v>
      </c>
      <c r="C9" s="13" t="str">
        <f>"202403023311"</f>
        <v>202403023311</v>
      </c>
      <c r="D9" s="13" t="str">
        <f>"陈柏材"</f>
        <v>陈柏材</v>
      </c>
      <c r="E9" s="15">
        <v>80.51</v>
      </c>
      <c r="F9" s="16">
        <f t="shared" si="0"/>
        <v>40.26</v>
      </c>
      <c r="G9" s="18">
        <v>0</v>
      </c>
      <c r="H9" s="16">
        <f t="shared" si="1"/>
        <v>0</v>
      </c>
      <c r="I9" s="16">
        <f t="shared" si="2"/>
        <v>40.26</v>
      </c>
      <c r="J9" s="13">
        <v>3</v>
      </c>
      <c r="K9" s="13" t="s">
        <v>15</v>
      </c>
    </row>
    <row r="10" s="2" customFormat="1" ht="46" customHeight="1" spans="1:11">
      <c r="A10" s="13">
        <v>7</v>
      </c>
      <c r="B10" s="14" t="s">
        <v>16</v>
      </c>
      <c r="C10" s="13" t="str">
        <f>"202403024314"</f>
        <v>202403024314</v>
      </c>
      <c r="D10" s="13" t="str">
        <f>"卢音"</f>
        <v>卢音</v>
      </c>
      <c r="E10" s="15">
        <v>81.62</v>
      </c>
      <c r="F10" s="16">
        <f t="shared" si="0"/>
        <v>40.81</v>
      </c>
      <c r="G10" s="18">
        <v>74.83</v>
      </c>
      <c r="H10" s="16">
        <f t="shared" si="1"/>
        <v>37.42</v>
      </c>
      <c r="I10" s="16">
        <f t="shared" si="2"/>
        <v>78.23</v>
      </c>
      <c r="J10" s="13">
        <v>1</v>
      </c>
      <c r="K10" s="13"/>
    </row>
    <row r="11" s="2" customFormat="1" ht="46" customHeight="1" spans="1:11">
      <c r="A11" s="13">
        <v>8</v>
      </c>
      <c r="B11" s="14" t="s">
        <v>16</v>
      </c>
      <c r="C11" s="13" t="str">
        <f>"202403024316"</f>
        <v>202403024316</v>
      </c>
      <c r="D11" s="13" t="str">
        <f>"符伟珍"</f>
        <v>符伟珍</v>
      </c>
      <c r="E11" s="15">
        <v>79.85</v>
      </c>
      <c r="F11" s="16">
        <f t="shared" si="0"/>
        <v>39.93</v>
      </c>
      <c r="G11" s="18">
        <v>72</v>
      </c>
      <c r="H11" s="16">
        <f t="shared" si="1"/>
        <v>36</v>
      </c>
      <c r="I11" s="16">
        <f t="shared" si="2"/>
        <v>75.93</v>
      </c>
      <c r="J11" s="13">
        <v>2</v>
      </c>
      <c r="K11" s="13"/>
    </row>
    <row r="12" s="2" customFormat="1" ht="46" customHeight="1" spans="1:11">
      <c r="A12" s="13">
        <v>9</v>
      </c>
      <c r="B12" s="14" t="s">
        <v>16</v>
      </c>
      <c r="C12" s="13" t="str">
        <f>"202403024512"</f>
        <v>202403024512</v>
      </c>
      <c r="D12" s="13" t="str">
        <f>"吴艾娟"</f>
        <v>吴艾娟</v>
      </c>
      <c r="E12" s="15">
        <v>75.94</v>
      </c>
      <c r="F12" s="16">
        <f t="shared" si="0"/>
        <v>37.97</v>
      </c>
      <c r="G12" s="17">
        <v>64.83</v>
      </c>
      <c r="H12" s="16">
        <f t="shared" si="1"/>
        <v>32.42</v>
      </c>
      <c r="I12" s="16">
        <f t="shared" si="2"/>
        <v>70.39</v>
      </c>
      <c r="J12" s="13">
        <v>3</v>
      </c>
      <c r="K12" s="14"/>
    </row>
    <row r="13" s="2" customFormat="1" ht="46" customHeight="1" spans="1:11">
      <c r="A13" s="13">
        <v>10</v>
      </c>
      <c r="B13" s="14" t="s">
        <v>17</v>
      </c>
      <c r="C13" s="13" t="str">
        <f>"202403023608"</f>
        <v>202403023608</v>
      </c>
      <c r="D13" s="13" t="str">
        <f>"吴为菊"</f>
        <v>吴为菊</v>
      </c>
      <c r="E13" s="15">
        <v>75.02</v>
      </c>
      <c r="F13" s="16">
        <f t="shared" si="0"/>
        <v>37.51</v>
      </c>
      <c r="G13" s="18">
        <v>68.17</v>
      </c>
      <c r="H13" s="16">
        <f t="shared" si="1"/>
        <v>34.09</v>
      </c>
      <c r="I13" s="16">
        <f t="shared" si="2"/>
        <v>71.6</v>
      </c>
      <c r="J13" s="13">
        <v>1</v>
      </c>
      <c r="K13" s="14"/>
    </row>
    <row r="14" s="2" customFormat="1" ht="46" customHeight="1" spans="1:11">
      <c r="A14" s="13">
        <v>11</v>
      </c>
      <c r="B14" s="14" t="s">
        <v>17</v>
      </c>
      <c r="C14" s="13" t="str">
        <f>"202403023518"</f>
        <v>202403023518</v>
      </c>
      <c r="D14" s="13" t="str">
        <f>"董津麟"</f>
        <v>董津麟</v>
      </c>
      <c r="E14" s="15">
        <v>76.66</v>
      </c>
      <c r="F14" s="16">
        <f t="shared" si="0"/>
        <v>38.33</v>
      </c>
      <c r="G14" s="18">
        <v>0</v>
      </c>
      <c r="H14" s="16">
        <f t="shared" si="1"/>
        <v>0</v>
      </c>
      <c r="I14" s="16">
        <f t="shared" si="2"/>
        <v>38.33</v>
      </c>
      <c r="J14" s="13">
        <v>2</v>
      </c>
      <c r="K14" s="13" t="s">
        <v>15</v>
      </c>
    </row>
    <row r="15" s="2" customFormat="1" ht="46" customHeight="1" spans="1:11">
      <c r="A15" s="13">
        <v>12</v>
      </c>
      <c r="B15" s="14" t="s">
        <v>17</v>
      </c>
      <c r="C15" s="13" t="str">
        <f>"202403023614"</f>
        <v>202403023614</v>
      </c>
      <c r="D15" s="13" t="str">
        <f>"张誉腾"</f>
        <v>张誉腾</v>
      </c>
      <c r="E15" s="15">
        <v>75.18</v>
      </c>
      <c r="F15" s="16">
        <f t="shared" si="0"/>
        <v>37.59</v>
      </c>
      <c r="G15" s="18">
        <v>0</v>
      </c>
      <c r="H15" s="16">
        <f t="shared" si="1"/>
        <v>0</v>
      </c>
      <c r="I15" s="16">
        <f t="shared" si="2"/>
        <v>37.59</v>
      </c>
      <c r="J15" s="13">
        <v>3</v>
      </c>
      <c r="K15" s="13" t="s">
        <v>15</v>
      </c>
    </row>
    <row r="16" s="2" customFormat="1" ht="46" customHeight="1" spans="1:11">
      <c r="A16" s="13">
        <v>13</v>
      </c>
      <c r="B16" s="14" t="s">
        <v>18</v>
      </c>
      <c r="C16" s="13" t="str">
        <f>"202403015916"</f>
        <v>202403015916</v>
      </c>
      <c r="D16" s="13" t="str">
        <f>"张行晓颖"</f>
        <v>张行晓颖</v>
      </c>
      <c r="E16" s="15">
        <v>85.75</v>
      </c>
      <c r="F16" s="16">
        <f t="shared" si="0"/>
        <v>42.88</v>
      </c>
      <c r="G16" s="18">
        <v>77.67</v>
      </c>
      <c r="H16" s="16">
        <f t="shared" si="1"/>
        <v>38.84</v>
      </c>
      <c r="I16" s="16">
        <f t="shared" si="2"/>
        <v>81.72</v>
      </c>
      <c r="J16" s="13">
        <v>1</v>
      </c>
      <c r="K16" s="13"/>
    </row>
    <row r="17" s="2" customFormat="1" ht="46" customHeight="1" spans="1:11">
      <c r="A17" s="13">
        <v>14</v>
      </c>
      <c r="B17" s="14" t="s">
        <v>18</v>
      </c>
      <c r="C17" s="13" t="str">
        <f>"202403015827"</f>
        <v>202403015827</v>
      </c>
      <c r="D17" s="13" t="str">
        <f>"黄颖"</f>
        <v>黄颖</v>
      </c>
      <c r="E17" s="15">
        <v>82.25</v>
      </c>
      <c r="F17" s="16">
        <f t="shared" si="0"/>
        <v>41.13</v>
      </c>
      <c r="G17" s="18">
        <v>0</v>
      </c>
      <c r="H17" s="16">
        <f t="shared" si="1"/>
        <v>0</v>
      </c>
      <c r="I17" s="16">
        <f t="shared" si="2"/>
        <v>41.13</v>
      </c>
      <c r="J17" s="13">
        <v>2</v>
      </c>
      <c r="K17" s="13" t="s">
        <v>15</v>
      </c>
    </row>
    <row r="18" s="2" customFormat="1" ht="46" customHeight="1" spans="1:11">
      <c r="A18" s="13">
        <v>15</v>
      </c>
      <c r="B18" s="14" t="s">
        <v>18</v>
      </c>
      <c r="C18" s="13" t="str">
        <f>"202403015921"</f>
        <v>202403015921</v>
      </c>
      <c r="D18" s="13" t="str">
        <f>"万龙"</f>
        <v>万龙</v>
      </c>
      <c r="E18" s="15">
        <v>77.01</v>
      </c>
      <c r="F18" s="16">
        <f t="shared" si="0"/>
        <v>38.51</v>
      </c>
      <c r="G18" s="18">
        <v>0</v>
      </c>
      <c r="H18" s="16">
        <f t="shared" si="1"/>
        <v>0</v>
      </c>
      <c r="I18" s="16">
        <f t="shared" si="2"/>
        <v>38.51</v>
      </c>
      <c r="J18" s="13">
        <v>3</v>
      </c>
      <c r="K18" s="13" t="s">
        <v>15</v>
      </c>
    </row>
    <row r="19" s="2" customFormat="1" ht="46" customHeight="1" spans="1:11">
      <c r="A19" s="13">
        <v>16</v>
      </c>
      <c r="B19" s="14" t="s">
        <v>19</v>
      </c>
      <c r="C19" s="13" t="str">
        <f>"202403025116"</f>
        <v>202403025116</v>
      </c>
      <c r="D19" s="13" t="str">
        <f>"王亮亮"</f>
        <v>王亮亮</v>
      </c>
      <c r="E19" s="15">
        <v>89.47</v>
      </c>
      <c r="F19" s="16">
        <f t="shared" si="0"/>
        <v>44.74</v>
      </c>
      <c r="G19" s="18">
        <v>83.5</v>
      </c>
      <c r="H19" s="16">
        <f t="shared" si="1"/>
        <v>41.75</v>
      </c>
      <c r="I19" s="16">
        <f t="shared" si="2"/>
        <v>86.49</v>
      </c>
      <c r="J19" s="13">
        <v>1</v>
      </c>
      <c r="K19" s="13"/>
    </row>
    <row r="20" s="2" customFormat="1" ht="46" customHeight="1" spans="1:11">
      <c r="A20" s="13">
        <v>17</v>
      </c>
      <c r="B20" s="14" t="s">
        <v>19</v>
      </c>
      <c r="C20" s="13" t="str">
        <f>"202403025012"</f>
        <v>202403025012</v>
      </c>
      <c r="D20" s="13" t="str">
        <f>"李腾爱"</f>
        <v>李腾爱</v>
      </c>
      <c r="E20" s="15">
        <v>87.19</v>
      </c>
      <c r="F20" s="16">
        <f t="shared" si="0"/>
        <v>43.6</v>
      </c>
      <c r="G20" s="18">
        <v>73.5</v>
      </c>
      <c r="H20" s="16">
        <f t="shared" si="1"/>
        <v>36.75</v>
      </c>
      <c r="I20" s="16">
        <f t="shared" si="2"/>
        <v>80.35</v>
      </c>
      <c r="J20" s="13">
        <v>2</v>
      </c>
      <c r="K20" s="13"/>
    </row>
    <row r="21" s="2" customFormat="1" ht="46" customHeight="1" spans="1:11">
      <c r="A21" s="13">
        <v>18</v>
      </c>
      <c r="B21" s="14" t="s">
        <v>19</v>
      </c>
      <c r="C21" s="13" t="str">
        <f>"202403025320"</f>
        <v>202403025320</v>
      </c>
      <c r="D21" s="13" t="str">
        <f>"韦让灵"</f>
        <v>韦让灵</v>
      </c>
      <c r="E21" s="15">
        <v>88.68</v>
      </c>
      <c r="F21" s="16">
        <f t="shared" si="0"/>
        <v>44.34</v>
      </c>
      <c r="G21" s="18">
        <v>69.17</v>
      </c>
      <c r="H21" s="16">
        <f t="shared" si="1"/>
        <v>34.59</v>
      </c>
      <c r="I21" s="16">
        <f t="shared" si="2"/>
        <v>78.93</v>
      </c>
      <c r="J21" s="13">
        <v>3</v>
      </c>
      <c r="K21" s="14"/>
    </row>
    <row r="22" s="2" customFormat="1" ht="46" customHeight="1" spans="1:11">
      <c r="A22" s="13">
        <v>19</v>
      </c>
      <c r="B22" s="14" t="s">
        <v>20</v>
      </c>
      <c r="C22" s="13" t="str">
        <f>"202403025607"</f>
        <v>202403025607</v>
      </c>
      <c r="D22" s="13" t="str">
        <f>"裴威侃"</f>
        <v>裴威侃</v>
      </c>
      <c r="E22" s="15">
        <v>76.27</v>
      </c>
      <c r="F22" s="16">
        <f t="shared" si="0"/>
        <v>38.14</v>
      </c>
      <c r="G22" s="18">
        <v>81.67</v>
      </c>
      <c r="H22" s="16">
        <f t="shared" si="1"/>
        <v>40.84</v>
      </c>
      <c r="I22" s="16">
        <f t="shared" si="2"/>
        <v>78.98</v>
      </c>
      <c r="J22" s="13">
        <v>1</v>
      </c>
      <c r="K22" s="14"/>
    </row>
    <row r="23" s="2" customFormat="1" ht="46" customHeight="1" spans="1:11">
      <c r="A23" s="13">
        <v>20</v>
      </c>
      <c r="B23" s="14" t="s">
        <v>20</v>
      </c>
      <c r="C23" s="13" t="str">
        <f>"202403025502"</f>
        <v>202403025502</v>
      </c>
      <c r="D23" s="13" t="str">
        <f>"郄钰"</f>
        <v>郄钰</v>
      </c>
      <c r="E23" s="15">
        <v>79.18</v>
      </c>
      <c r="F23" s="16">
        <f t="shared" si="0"/>
        <v>39.59</v>
      </c>
      <c r="G23" s="18">
        <v>77.5</v>
      </c>
      <c r="H23" s="16">
        <f t="shared" si="1"/>
        <v>38.75</v>
      </c>
      <c r="I23" s="16">
        <f t="shared" si="2"/>
        <v>78.34</v>
      </c>
      <c r="J23" s="13">
        <v>2</v>
      </c>
      <c r="K23" s="14"/>
    </row>
    <row r="24" s="2" customFormat="1" ht="46" customHeight="1" spans="1:11">
      <c r="A24" s="13">
        <v>21</v>
      </c>
      <c r="B24" s="14" t="s">
        <v>20</v>
      </c>
      <c r="C24" s="13" t="str">
        <f>"202403025417"</f>
        <v>202403025417</v>
      </c>
      <c r="D24" s="13" t="str">
        <f>"刘光莲"</f>
        <v>刘光莲</v>
      </c>
      <c r="E24" s="15">
        <v>76.66</v>
      </c>
      <c r="F24" s="16">
        <f t="shared" si="0"/>
        <v>38.33</v>
      </c>
      <c r="G24" s="18">
        <v>74.17</v>
      </c>
      <c r="H24" s="16">
        <f t="shared" si="1"/>
        <v>37.09</v>
      </c>
      <c r="I24" s="16">
        <f t="shared" si="2"/>
        <v>75.42</v>
      </c>
      <c r="J24" s="13">
        <v>3</v>
      </c>
      <c r="K24" s="14"/>
    </row>
    <row r="25" s="2" customFormat="1" ht="46" customHeight="1" spans="1:11">
      <c r="A25" s="13">
        <v>22</v>
      </c>
      <c r="B25" s="14" t="s">
        <v>21</v>
      </c>
      <c r="C25" s="13" t="str">
        <f>"202403022819"</f>
        <v>202403022819</v>
      </c>
      <c r="D25" s="13" t="str">
        <f>"王彩玉"</f>
        <v>王彩玉</v>
      </c>
      <c r="E25" s="15">
        <v>82.93</v>
      </c>
      <c r="F25" s="16">
        <f t="shared" si="0"/>
        <v>41.47</v>
      </c>
      <c r="G25" s="17">
        <v>77.33</v>
      </c>
      <c r="H25" s="16">
        <f t="shared" si="1"/>
        <v>38.67</v>
      </c>
      <c r="I25" s="16">
        <f t="shared" si="2"/>
        <v>80.14</v>
      </c>
      <c r="J25" s="13">
        <v>1</v>
      </c>
      <c r="K25" s="13"/>
    </row>
    <row r="26" s="2" customFormat="1" ht="46" customHeight="1" spans="1:11">
      <c r="A26" s="13">
        <v>23</v>
      </c>
      <c r="B26" s="14" t="s">
        <v>21</v>
      </c>
      <c r="C26" s="13" t="str">
        <f>"202403023216"</f>
        <v>202403023216</v>
      </c>
      <c r="D26" s="13" t="str">
        <f>"艾文莉"</f>
        <v>艾文莉</v>
      </c>
      <c r="E26" s="15">
        <v>84.53</v>
      </c>
      <c r="F26" s="16">
        <f t="shared" si="0"/>
        <v>42.27</v>
      </c>
      <c r="G26" s="17">
        <v>74.17</v>
      </c>
      <c r="H26" s="16">
        <f t="shared" si="1"/>
        <v>37.09</v>
      </c>
      <c r="I26" s="16">
        <f t="shared" si="2"/>
        <v>79.36</v>
      </c>
      <c r="J26" s="13">
        <v>2</v>
      </c>
      <c r="K26" s="13"/>
    </row>
    <row r="27" s="2" customFormat="1" ht="46" customHeight="1" spans="1:11">
      <c r="A27" s="13">
        <v>24</v>
      </c>
      <c r="B27" s="14" t="s">
        <v>21</v>
      </c>
      <c r="C27" s="13" t="str">
        <f>"202403023215"</f>
        <v>202403023215</v>
      </c>
      <c r="D27" s="13" t="str">
        <f>"邱昌倩"</f>
        <v>邱昌倩</v>
      </c>
      <c r="E27" s="19">
        <v>80.51</v>
      </c>
      <c r="F27" s="16">
        <f t="shared" si="0"/>
        <v>40.26</v>
      </c>
      <c r="G27" s="17">
        <v>71.5</v>
      </c>
      <c r="H27" s="16">
        <f t="shared" si="1"/>
        <v>35.75</v>
      </c>
      <c r="I27" s="16">
        <f t="shared" si="2"/>
        <v>76.01</v>
      </c>
      <c r="J27" s="13">
        <v>3</v>
      </c>
      <c r="K27" s="13"/>
    </row>
    <row r="28" s="2" customFormat="1" ht="46" customHeight="1" spans="1:11">
      <c r="A28" s="13">
        <v>25</v>
      </c>
      <c r="B28" s="14" t="s">
        <v>22</v>
      </c>
      <c r="C28" s="13" t="str">
        <f>"202403016309"</f>
        <v>202403016309</v>
      </c>
      <c r="D28" s="13" t="str">
        <f>"曾良艳"</f>
        <v>曾良艳</v>
      </c>
      <c r="E28" s="15">
        <v>76.47</v>
      </c>
      <c r="F28" s="16">
        <f t="shared" si="0"/>
        <v>38.24</v>
      </c>
      <c r="G28" s="17">
        <v>78.5</v>
      </c>
      <c r="H28" s="16">
        <f t="shared" si="1"/>
        <v>39.25</v>
      </c>
      <c r="I28" s="16">
        <f t="shared" si="2"/>
        <v>77.49</v>
      </c>
      <c r="J28" s="13">
        <v>1</v>
      </c>
      <c r="K28" s="13"/>
    </row>
    <row r="29" s="2" customFormat="1" ht="46" customHeight="1" spans="1:11">
      <c r="A29" s="13">
        <v>26</v>
      </c>
      <c r="B29" s="14" t="s">
        <v>22</v>
      </c>
      <c r="C29" s="13" t="str">
        <f>"202403016223"</f>
        <v>202403016223</v>
      </c>
      <c r="D29" s="13" t="str">
        <f>"周清青"</f>
        <v>周清青</v>
      </c>
      <c r="E29" s="15">
        <v>83.83</v>
      </c>
      <c r="F29" s="16">
        <f t="shared" si="0"/>
        <v>41.92</v>
      </c>
      <c r="G29" s="17">
        <v>70.17</v>
      </c>
      <c r="H29" s="16">
        <f t="shared" si="1"/>
        <v>35.09</v>
      </c>
      <c r="I29" s="16">
        <f t="shared" si="2"/>
        <v>77.01</v>
      </c>
      <c r="J29" s="13">
        <v>2</v>
      </c>
      <c r="K29" s="13"/>
    </row>
    <row r="30" s="2" customFormat="1" ht="46" customHeight="1" spans="1:11">
      <c r="A30" s="13">
        <v>27</v>
      </c>
      <c r="B30" s="14" t="s">
        <v>22</v>
      </c>
      <c r="C30" s="13" t="str">
        <f>"202403016102"</f>
        <v>202403016102</v>
      </c>
      <c r="D30" s="13" t="str">
        <f>"黄晓倩"</f>
        <v>黄晓倩</v>
      </c>
      <c r="E30" s="15">
        <v>80.17</v>
      </c>
      <c r="F30" s="16">
        <f t="shared" si="0"/>
        <v>40.09</v>
      </c>
      <c r="G30" s="17">
        <v>72.83</v>
      </c>
      <c r="H30" s="16">
        <f t="shared" si="1"/>
        <v>36.42</v>
      </c>
      <c r="I30" s="16">
        <f t="shared" si="2"/>
        <v>76.51</v>
      </c>
      <c r="J30" s="13">
        <v>3</v>
      </c>
      <c r="K30" s="14"/>
    </row>
    <row r="31" s="2" customFormat="1" ht="46" customHeight="1" spans="1:11">
      <c r="A31" s="13">
        <v>28</v>
      </c>
      <c r="B31" s="14" t="s">
        <v>23</v>
      </c>
      <c r="C31" s="13" t="str">
        <f>"202403017321"</f>
        <v>202403017321</v>
      </c>
      <c r="D31" s="13" t="str">
        <f>"刘术"</f>
        <v>刘术</v>
      </c>
      <c r="E31" s="19">
        <v>79.7</v>
      </c>
      <c r="F31" s="16">
        <f t="shared" si="0"/>
        <v>39.85</v>
      </c>
      <c r="G31" s="17">
        <v>83.5</v>
      </c>
      <c r="H31" s="16">
        <f t="shared" si="1"/>
        <v>41.75</v>
      </c>
      <c r="I31" s="16">
        <f t="shared" si="2"/>
        <v>81.6</v>
      </c>
      <c r="J31" s="13">
        <v>1</v>
      </c>
      <c r="K31" s="14"/>
    </row>
    <row r="32" s="2" customFormat="1" ht="46" customHeight="1" spans="1:11">
      <c r="A32" s="13">
        <v>29</v>
      </c>
      <c r="B32" s="14" t="s">
        <v>23</v>
      </c>
      <c r="C32" s="13" t="str">
        <f>"202403017503"</f>
        <v>202403017503</v>
      </c>
      <c r="D32" s="13" t="str">
        <f>"施柳"</f>
        <v>施柳</v>
      </c>
      <c r="E32" s="15">
        <v>80.12</v>
      </c>
      <c r="F32" s="16">
        <f t="shared" si="0"/>
        <v>40.06</v>
      </c>
      <c r="G32" s="17">
        <v>81.67</v>
      </c>
      <c r="H32" s="16">
        <f t="shared" si="1"/>
        <v>40.84</v>
      </c>
      <c r="I32" s="16">
        <f t="shared" si="2"/>
        <v>80.9</v>
      </c>
      <c r="J32" s="13">
        <v>2</v>
      </c>
      <c r="K32" s="14"/>
    </row>
    <row r="33" s="2" customFormat="1" ht="46" customHeight="1" spans="1:11">
      <c r="A33" s="13">
        <v>30</v>
      </c>
      <c r="B33" s="14" t="s">
        <v>23</v>
      </c>
      <c r="C33" s="13" t="str">
        <f>"202403017501"</f>
        <v>202403017501</v>
      </c>
      <c r="D33" s="13" t="str">
        <f>"方可欣"</f>
        <v>方可欣</v>
      </c>
      <c r="E33" s="15">
        <v>81.66</v>
      </c>
      <c r="F33" s="16">
        <f t="shared" si="0"/>
        <v>40.83</v>
      </c>
      <c r="G33" s="17">
        <v>66.17</v>
      </c>
      <c r="H33" s="16">
        <f t="shared" si="1"/>
        <v>33.09</v>
      </c>
      <c r="I33" s="16">
        <f t="shared" si="2"/>
        <v>73.92</v>
      </c>
      <c r="J33" s="13">
        <v>3</v>
      </c>
      <c r="K33" s="13"/>
    </row>
    <row r="34" s="2" customFormat="1" ht="46" customHeight="1" spans="1:11">
      <c r="A34" s="13">
        <v>31</v>
      </c>
      <c r="B34" s="14" t="s">
        <v>24</v>
      </c>
      <c r="C34" s="13" t="str">
        <f>"202403023704"</f>
        <v>202403023704</v>
      </c>
      <c r="D34" s="13" t="str">
        <f>"吕云艳"</f>
        <v>吕云艳</v>
      </c>
      <c r="E34" s="15">
        <v>72.25</v>
      </c>
      <c r="F34" s="16">
        <f t="shared" si="0"/>
        <v>36.13</v>
      </c>
      <c r="G34" s="17">
        <v>77.83</v>
      </c>
      <c r="H34" s="16">
        <f t="shared" si="1"/>
        <v>38.92</v>
      </c>
      <c r="I34" s="16">
        <f t="shared" si="2"/>
        <v>75.05</v>
      </c>
      <c r="J34" s="13">
        <v>1</v>
      </c>
      <c r="K34" s="13"/>
    </row>
    <row r="35" s="2" customFormat="1" ht="46" customHeight="1" spans="1:11">
      <c r="A35" s="13">
        <v>32</v>
      </c>
      <c r="B35" s="14" t="s">
        <v>24</v>
      </c>
      <c r="C35" s="13" t="str">
        <f>"202403023628"</f>
        <v>202403023628</v>
      </c>
      <c r="D35" s="13" t="str">
        <f>"周青青"</f>
        <v>周青青</v>
      </c>
      <c r="E35" s="15">
        <v>68.09</v>
      </c>
      <c r="F35" s="16">
        <f t="shared" si="0"/>
        <v>34.05</v>
      </c>
      <c r="G35" s="17">
        <v>67.83</v>
      </c>
      <c r="H35" s="16">
        <f t="shared" si="1"/>
        <v>33.92</v>
      </c>
      <c r="I35" s="16">
        <f t="shared" si="2"/>
        <v>67.97</v>
      </c>
      <c r="J35" s="13">
        <v>2</v>
      </c>
      <c r="K35" s="13"/>
    </row>
    <row r="36" s="2" customFormat="1" ht="46" customHeight="1" spans="1:11">
      <c r="A36" s="13">
        <v>33</v>
      </c>
      <c r="B36" s="14" t="s">
        <v>24</v>
      </c>
      <c r="C36" s="13" t="str">
        <f>"202403023621"</f>
        <v>202403023621</v>
      </c>
      <c r="D36" s="13" t="str">
        <f>"梁正鹏"</f>
        <v>梁正鹏</v>
      </c>
      <c r="E36" s="15">
        <v>68.45</v>
      </c>
      <c r="F36" s="16">
        <f t="shared" si="0"/>
        <v>34.23</v>
      </c>
      <c r="G36" s="17">
        <v>66.67</v>
      </c>
      <c r="H36" s="16">
        <f t="shared" si="1"/>
        <v>33.34</v>
      </c>
      <c r="I36" s="16">
        <f t="shared" si="2"/>
        <v>67.57</v>
      </c>
      <c r="J36" s="13">
        <v>3</v>
      </c>
      <c r="K36" s="13"/>
    </row>
    <row r="37" s="2" customFormat="1" ht="46" customHeight="1" spans="1:11">
      <c r="A37" s="13">
        <v>34</v>
      </c>
      <c r="B37" s="14" t="s">
        <v>25</v>
      </c>
      <c r="C37" s="13" t="str">
        <f>"202403017008"</f>
        <v>202403017008</v>
      </c>
      <c r="D37" s="13" t="str">
        <f>"卢菁菁"</f>
        <v>卢菁菁</v>
      </c>
      <c r="E37" s="15">
        <v>75.36</v>
      </c>
      <c r="F37" s="16">
        <f t="shared" si="0"/>
        <v>37.68</v>
      </c>
      <c r="G37" s="17">
        <v>80.83</v>
      </c>
      <c r="H37" s="16">
        <f t="shared" si="1"/>
        <v>40.42</v>
      </c>
      <c r="I37" s="16">
        <f t="shared" si="2"/>
        <v>78.1</v>
      </c>
      <c r="J37" s="13">
        <v>1</v>
      </c>
      <c r="K37" s="13"/>
    </row>
    <row r="38" s="2" customFormat="1" ht="46" customHeight="1" spans="1:11">
      <c r="A38" s="13">
        <v>35</v>
      </c>
      <c r="B38" s="14" t="s">
        <v>25</v>
      </c>
      <c r="C38" s="13" t="str">
        <f>"202403017208"</f>
        <v>202403017208</v>
      </c>
      <c r="D38" s="13" t="str">
        <f>"刘雅婵"</f>
        <v>刘雅婵</v>
      </c>
      <c r="E38" s="15">
        <v>73.45</v>
      </c>
      <c r="F38" s="16">
        <f t="shared" si="0"/>
        <v>36.73</v>
      </c>
      <c r="G38" s="17">
        <v>70.67</v>
      </c>
      <c r="H38" s="16">
        <f t="shared" si="1"/>
        <v>35.34</v>
      </c>
      <c r="I38" s="16">
        <f t="shared" si="2"/>
        <v>72.07</v>
      </c>
      <c r="J38" s="13">
        <v>2</v>
      </c>
      <c r="K38" s="13"/>
    </row>
    <row r="39" s="2" customFormat="1" ht="46" customHeight="1" spans="1:11">
      <c r="A39" s="13">
        <v>36</v>
      </c>
      <c r="B39" s="14" t="s">
        <v>25</v>
      </c>
      <c r="C39" s="13" t="str">
        <f>"202403017020"</f>
        <v>202403017020</v>
      </c>
      <c r="D39" s="13" t="str">
        <f>"郑赛波"</f>
        <v>郑赛波</v>
      </c>
      <c r="E39" s="15">
        <v>73.26</v>
      </c>
      <c r="F39" s="16">
        <f t="shared" si="0"/>
        <v>36.63</v>
      </c>
      <c r="G39" s="17">
        <v>0</v>
      </c>
      <c r="H39" s="16">
        <f t="shared" si="1"/>
        <v>0</v>
      </c>
      <c r="I39" s="16">
        <f t="shared" si="2"/>
        <v>36.63</v>
      </c>
      <c r="J39" s="13">
        <v>3</v>
      </c>
      <c r="K39" s="13" t="s">
        <v>15</v>
      </c>
    </row>
    <row r="40" s="2" customFormat="1" ht="46" customHeight="1" spans="1:11">
      <c r="A40" s="13">
        <v>37</v>
      </c>
      <c r="B40" s="14" t="s">
        <v>26</v>
      </c>
      <c r="C40" s="13" t="str">
        <f>"202403020313"</f>
        <v>202403020313</v>
      </c>
      <c r="D40" s="13" t="str">
        <f>"欧慧芳"</f>
        <v>欧慧芳</v>
      </c>
      <c r="E40" s="15">
        <v>74.2</v>
      </c>
      <c r="F40" s="16">
        <f t="shared" si="0"/>
        <v>37.1</v>
      </c>
      <c r="G40" s="17">
        <v>70.5</v>
      </c>
      <c r="H40" s="16">
        <f t="shared" si="1"/>
        <v>35.25</v>
      </c>
      <c r="I40" s="16">
        <f t="shared" si="2"/>
        <v>72.35</v>
      </c>
      <c r="J40" s="13">
        <v>1</v>
      </c>
      <c r="K40" s="13"/>
    </row>
    <row r="41" s="2" customFormat="1" ht="46" customHeight="1" spans="1:11">
      <c r="A41" s="13">
        <v>38</v>
      </c>
      <c r="B41" s="14" t="s">
        <v>26</v>
      </c>
      <c r="C41" s="13" t="str">
        <f>"202403020106"</f>
        <v>202403020106</v>
      </c>
      <c r="D41" s="13" t="str">
        <f>"陈玉兰"</f>
        <v>陈玉兰</v>
      </c>
      <c r="E41" s="15">
        <v>73.16</v>
      </c>
      <c r="F41" s="16">
        <f t="shared" si="0"/>
        <v>36.58</v>
      </c>
      <c r="G41" s="20">
        <v>68.83</v>
      </c>
      <c r="H41" s="16">
        <f t="shared" si="1"/>
        <v>34.42</v>
      </c>
      <c r="I41" s="16">
        <f t="shared" si="2"/>
        <v>71</v>
      </c>
      <c r="J41" s="13">
        <v>2</v>
      </c>
      <c r="K41" s="13"/>
    </row>
    <row r="42" s="2" customFormat="1" ht="46" customHeight="1" spans="1:11">
      <c r="A42" s="13">
        <v>39</v>
      </c>
      <c r="B42" s="14" t="s">
        <v>26</v>
      </c>
      <c r="C42" s="13" t="str">
        <f>"202403020301"</f>
        <v>202403020301</v>
      </c>
      <c r="D42" s="13" t="str">
        <f>"卓欣"</f>
        <v>卓欣</v>
      </c>
      <c r="E42" s="15">
        <v>73.16</v>
      </c>
      <c r="F42" s="16">
        <f t="shared" si="0"/>
        <v>36.58</v>
      </c>
      <c r="G42" s="20">
        <v>68.67</v>
      </c>
      <c r="H42" s="16">
        <f t="shared" si="1"/>
        <v>34.34</v>
      </c>
      <c r="I42" s="16">
        <f t="shared" si="2"/>
        <v>70.92</v>
      </c>
      <c r="J42" s="13">
        <v>3</v>
      </c>
      <c r="K42" s="13"/>
    </row>
    <row r="43" s="2" customFormat="1" ht="46" customHeight="1" spans="1:11">
      <c r="A43" s="13">
        <v>40</v>
      </c>
      <c r="B43" s="14" t="s">
        <v>26</v>
      </c>
      <c r="C43" s="13" t="str">
        <f>"202403020411"</f>
        <v>202403020411</v>
      </c>
      <c r="D43" s="13" t="str">
        <f>"张宇博"</f>
        <v>张宇博</v>
      </c>
      <c r="E43" s="15">
        <v>73.61</v>
      </c>
      <c r="F43" s="16">
        <f t="shared" si="0"/>
        <v>36.81</v>
      </c>
      <c r="G43" s="17">
        <v>66</v>
      </c>
      <c r="H43" s="16">
        <f t="shared" si="1"/>
        <v>33</v>
      </c>
      <c r="I43" s="16">
        <f t="shared" si="2"/>
        <v>69.81</v>
      </c>
      <c r="J43" s="13">
        <v>4</v>
      </c>
      <c r="K43" s="13"/>
    </row>
    <row r="44" s="2" customFormat="1" ht="46" customHeight="1" spans="1:11">
      <c r="A44" s="13">
        <v>41</v>
      </c>
      <c r="B44" s="14" t="s">
        <v>26</v>
      </c>
      <c r="C44" s="13" t="str">
        <f>"202403020415"</f>
        <v>202403020415</v>
      </c>
      <c r="D44" s="13" t="str">
        <f>"邓婉靖"</f>
        <v>邓婉靖</v>
      </c>
      <c r="E44" s="15">
        <v>73.43</v>
      </c>
      <c r="F44" s="16">
        <f t="shared" si="0"/>
        <v>36.72</v>
      </c>
      <c r="G44" s="17">
        <v>49.5</v>
      </c>
      <c r="H44" s="16">
        <f t="shared" si="1"/>
        <v>24.75</v>
      </c>
      <c r="I44" s="16">
        <f t="shared" si="2"/>
        <v>61.47</v>
      </c>
      <c r="J44" s="13">
        <v>5</v>
      </c>
      <c r="K44" s="13" t="s">
        <v>27</v>
      </c>
    </row>
    <row r="45" s="2" customFormat="1" ht="46" customHeight="1" spans="1:11">
      <c r="A45" s="13">
        <v>42</v>
      </c>
      <c r="B45" s="14" t="s">
        <v>26</v>
      </c>
      <c r="C45" s="13" t="str">
        <f>"202403020625"</f>
        <v>202403020625</v>
      </c>
      <c r="D45" s="13" t="str">
        <f>"陈美亭"</f>
        <v>陈美亭</v>
      </c>
      <c r="E45" s="15">
        <v>72.24</v>
      </c>
      <c r="F45" s="16">
        <f t="shared" si="0"/>
        <v>36.12</v>
      </c>
      <c r="G45" s="20">
        <v>0</v>
      </c>
      <c r="H45" s="16">
        <f t="shared" si="1"/>
        <v>0</v>
      </c>
      <c r="I45" s="16">
        <f t="shared" si="2"/>
        <v>36.12</v>
      </c>
      <c r="J45" s="13">
        <v>6</v>
      </c>
      <c r="K45" s="13" t="s">
        <v>15</v>
      </c>
    </row>
    <row r="46" s="2" customFormat="1" ht="46" customHeight="1" spans="1:11">
      <c r="A46" s="13">
        <v>43</v>
      </c>
      <c r="B46" s="14" t="s">
        <v>28</v>
      </c>
      <c r="C46" s="13" t="str">
        <f>"202403011719"</f>
        <v>202403011719</v>
      </c>
      <c r="D46" s="13" t="str">
        <f>"齐爱丽"</f>
        <v>齐爱丽</v>
      </c>
      <c r="E46" s="15">
        <v>76.21</v>
      </c>
      <c r="F46" s="16">
        <f t="shared" si="0"/>
        <v>38.11</v>
      </c>
      <c r="G46" s="20">
        <v>72.83</v>
      </c>
      <c r="H46" s="16">
        <f t="shared" si="1"/>
        <v>36.42</v>
      </c>
      <c r="I46" s="16">
        <f t="shared" si="2"/>
        <v>74.53</v>
      </c>
      <c r="J46" s="13">
        <v>1</v>
      </c>
      <c r="K46" s="13"/>
    </row>
    <row r="47" s="2" customFormat="1" ht="46" customHeight="1" spans="1:11">
      <c r="A47" s="13">
        <v>44</v>
      </c>
      <c r="B47" s="14" t="s">
        <v>28</v>
      </c>
      <c r="C47" s="13" t="str">
        <f>"202403011621"</f>
        <v>202403011621</v>
      </c>
      <c r="D47" s="13" t="str">
        <f>"麦光昊"</f>
        <v>麦光昊</v>
      </c>
      <c r="E47" s="15">
        <v>64.91</v>
      </c>
      <c r="F47" s="16">
        <f t="shared" si="0"/>
        <v>32.46</v>
      </c>
      <c r="G47" s="20">
        <v>77</v>
      </c>
      <c r="H47" s="16">
        <f t="shared" si="1"/>
        <v>38.5</v>
      </c>
      <c r="I47" s="16">
        <f t="shared" si="2"/>
        <v>70.96</v>
      </c>
      <c r="J47" s="13">
        <v>2</v>
      </c>
      <c r="K47" s="13"/>
    </row>
    <row r="48" s="2" customFormat="1" ht="46" customHeight="1" spans="1:11">
      <c r="A48" s="13">
        <v>45</v>
      </c>
      <c r="B48" s="14" t="s">
        <v>28</v>
      </c>
      <c r="C48" s="13" t="str">
        <f>"202403011505"</f>
        <v>202403011505</v>
      </c>
      <c r="D48" s="13" t="str">
        <f>"颜琪"</f>
        <v>颜琪</v>
      </c>
      <c r="E48" s="15">
        <v>66.9</v>
      </c>
      <c r="F48" s="16">
        <f t="shared" si="0"/>
        <v>33.45</v>
      </c>
      <c r="G48" s="20">
        <v>74.17</v>
      </c>
      <c r="H48" s="16">
        <f t="shared" si="1"/>
        <v>37.09</v>
      </c>
      <c r="I48" s="16">
        <f t="shared" si="2"/>
        <v>70.54</v>
      </c>
      <c r="J48" s="13">
        <v>3</v>
      </c>
      <c r="K48" s="13"/>
    </row>
    <row r="49" s="2" customFormat="1" ht="46" customHeight="1" spans="1:11">
      <c r="A49" s="13">
        <v>46</v>
      </c>
      <c r="B49" s="14" t="s">
        <v>28</v>
      </c>
      <c r="C49" s="13" t="str">
        <f>"202403012024"</f>
        <v>202403012024</v>
      </c>
      <c r="D49" s="13" t="str">
        <f>"郭玲"</f>
        <v>郭玲</v>
      </c>
      <c r="E49" s="15">
        <v>58.69</v>
      </c>
      <c r="F49" s="16">
        <f t="shared" si="0"/>
        <v>29.35</v>
      </c>
      <c r="G49" s="20">
        <v>74</v>
      </c>
      <c r="H49" s="16">
        <f t="shared" si="1"/>
        <v>37</v>
      </c>
      <c r="I49" s="16">
        <f t="shared" si="2"/>
        <v>66.35</v>
      </c>
      <c r="J49" s="13">
        <v>4</v>
      </c>
      <c r="K49" s="13"/>
    </row>
    <row r="50" s="2" customFormat="1" ht="46" customHeight="1" spans="1:11">
      <c r="A50" s="13">
        <v>47</v>
      </c>
      <c r="B50" s="14" t="s">
        <v>28</v>
      </c>
      <c r="C50" s="13" t="str">
        <f>"202403011510"</f>
        <v>202403011510</v>
      </c>
      <c r="D50" s="13" t="str">
        <f>"李欣"</f>
        <v>李欣</v>
      </c>
      <c r="E50" s="15">
        <v>64.26</v>
      </c>
      <c r="F50" s="16">
        <f t="shared" si="0"/>
        <v>32.13</v>
      </c>
      <c r="G50" s="20">
        <v>66.33</v>
      </c>
      <c r="H50" s="16">
        <f t="shared" si="1"/>
        <v>33.17</v>
      </c>
      <c r="I50" s="16">
        <f t="shared" si="2"/>
        <v>65.3</v>
      </c>
      <c r="J50" s="13">
        <v>5</v>
      </c>
      <c r="K50" s="13"/>
    </row>
    <row r="51" s="2" customFormat="1" ht="46" customHeight="1" spans="1:11">
      <c r="A51" s="13">
        <v>48</v>
      </c>
      <c r="B51" s="14" t="s">
        <v>28</v>
      </c>
      <c r="C51" s="13" t="str">
        <f>"202403011610"</f>
        <v>202403011610</v>
      </c>
      <c r="D51" s="13" t="str">
        <f>"殷海妮"</f>
        <v>殷海妮</v>
      </c>
      <c r="E51" s="15">
        <v>59.91</v>
      </c>
      <c r="F51" s="16">
        <f t="shared" si="0"/>
        <v>29.96</v>
      </c>
      <c r="G51" s="20">
        <v>69.33</v>
      </c>
      <c r="H51" s="16">
        <f t="shared" si="1"/>
        <v>34.67</v>
      </c>
      <c r="I51" s="16">
        <f t="shared" si="2"/>
        <v>64.63</v>
      </c>
      <c r="J51" s="13">
        <v>6</v>
      </c>
      <c r="K51" s="13"/>
    </row>
    <row r="52" s="2" customFormat="1" ht="46" customHeight="1" spans="1:11">
      <c r="A52" s="13">
        <v>49</v>
      </c>
      <c r="B52" s="14" t="s">
        <v>28</v>
      </c>
      <c r="C52" s="13" t="str">
        <f>"202403011804"</f>
        <v>202403011804</v>
      </c>
      <c r="D52" s="13" t="str">
        <f>"符坤丹"</f>
        <v>符坤丹</v>
      </c>
      <c r="E52" s="15">
        <v>58.31</v>
      </c>
      <c r="F52" s="16">
        <f t="shared" si="0"/>
        <v>29.16</v>
      </c>
      <c r="G52" s="20">
        <v>70.83</v>
      </c>
      <c r="H52" s="16">
        <f t="shared" si="1"/>
        <v>35.42</v>
      </c>
      <c r="I52" s="16">
        <f t="shared" si="2"/>
        <v>64.58</v>
      </c>
      <c r="J52" s="13">
        <v>7</v>
      </c>
      <c r="K52" s="13"/>
    </row>
    <row r="53" s="2" customFormat="1" ht="46" customHeight="1" spans="1:11">
      <c r="A53" s="13">
        <v>50</v>
      </c>
      <c r="B53" s="14" t="s">
        <v>28</v>
      </c>
      <c r="C53" s="13" t="str">
        <f>"202403011701"</f>
        <v>202403011701</v>
      </c>
      <c r="D53" s="13" t="str">
        <f>"陈莹"</f>
        <v>陈莹</v>
      </c>
      <c r="E53" s="15">
        <v>61.7</v>
      </c>
      <c r="F53" s="16">
        <f t="shared" si="0"/>
        <v>30.85</v>
      </c>
      <c r="G53" s="20">
        <v>66.33</v>
      </c>
      <c r="H53" s="16">
        <f t="shared" si="1"/>
        <v>33.17</v>
      </c>
      <c r="I53" s="16">
        <f t="shared" si="2"/>
        <v>64.02</v>
      </c>
      <c r="J53" s="13">
        <v>8</v>
      </c>
      <c r="K53" s="13"/>
    </row>
    <row r="54" s="2" customFormat="1" ht="46" customHeight="1" spans="1:11">
      <c r="A54" s="13">
        <v>51</v>
      </c>
      <c r="B54" s="14" t="s">
        <v>28</v>
      </c>
      <c r="C54" s="13" t="str">
        <f>"202403011906"</f>
        <v>202403011906</v>
      </c>
      <c r="D54" s="13" t="str">
        <f>"符燕飞"</f>
        <v>符燕飞</v>
      </c>
      <c r="E54" s="19">
        <v>55.57</v>
      </c>
      <c r="F54" s="16">
        <f t="shared" si="0"/>
        <v>27.79</v>
      </c>
      <c r="G54" s="20">
        <v>64.67</v>
      </c>
      <c r="H54" s="16">
        <f t="shared" si="1"/>
        <v>32.34</v>
      </c>
      <c r="I54" s="16">
        <f t="shared" si="2"/>
        <v>60.13</v>
      </c>
      <c r="J54" s="13">
        <v>9</v>
      </c>
      <c r="K54" s="13"/>
    </row>
    <row r="55" s="2" customFormat="1" ht="46" customHeight="1" spans="1:11">
      <c r="A55" s="13">
        <v>52</v>
      </c>
      <c r="B55" s="14" t="s">
        <v>29</v>
      </c>
      <c r="C55" s="13" t="str">
        <f>"202403012328"</f>
        <v>202403012328</v>
      </c>
      <c r="D55" s="13" t="str">
        <f>"黄园园"</f>
        <v>黄园园</v>
      </c>
      <c r="E55" s="15">
        <v>73.36</v>
      </c>
      <c r="F55" s="16">
        <f t="shared" si="0"/>
        <v>36.68</v>
      </c>
      <c r="G55" s="20">
        <v>74</v>
      </c>
      <c r="H55" s="16">
        <f t="shared" si="1"/>
        <v>37</v>
      </c>
      <c r="I55" s="16">
        <f t="shared" si="2"/>
        <v>73.68</v>
      </c>
      <c r="J55" s="13">
        <v>1</v>
      </c>
      <c r="K55" s="13"/>
    </row>
    <row r="56" s="2" customFormat="1" ht="46" customHeight="1" spans="1:11">
      <c r="A56" s="13">
        <v>53</v>
      </c>
      <c r="B56" s="14" t="s">
        <v>29</v>
      </c>
      <c r="C56" s="13" t="str">
        <f>"202403012128"</f>
        <v>202403012128</v>
      </c>
      <c r="D56" s="13" t="str">
        <f>"宋坤阳"</f>
        <v>宋坤阳</v>
      </c>
      <c r="E56" s="15">
        <v>69.17</v>
      </c>
      <c r="F56" s="16">
        <f t="shared" si="0"/>
        <v>34.59</v>
      </c>
      <c r="G56" s="20">
        <v>76.83</v>
      </c>
      <c r="H56" s="16">
        <f t="shared" si="1"/>
        <v>38.42</v>
      </c>
      <c r="I56" s="16">
        <f t="shared" si="2"/>
        <v>73.01</v>
      </c>
      <c r="J56" s="13">
        <v>2</v>
      </c>
      <c r="K56" s="13"/>
    </row>
    <row r="57" s="2" customFormat="1" ht="46" customHeight="1" spans="1:11">
      <c r="A57" s="13">
        <v>54</v>
      </c>
      <c r="B57" s="14" t="s">
        <v>29</v>
      </c>
      <c r="C57" s="13" t="str">
        <f>"202403012317"</f>
        <v>202403012317</v>
      </c>
      <c r="D57" s="13" t="str">
        <f>"刘静墨"</f>
        <v>刘静墨</v>
      </c>
      <c r="E57" s="15">
        <v>66.3</v>
      </c>
      <c r="F57" s="16">
        <f t="shared" si="0"/>
        <v>33.15</v>
      </c>
      <c r="G57" s="20">
        <v>75.33</v>
      </c>
      <c r="H57" s="16">
        <f t="shared" si="1"/>
        <v>37.67</v>
      </c>
      <c r="I57" s="16">
        <f t="shared" si="2"/>
        <v>70.82</v>
      </c>
      <c r="J57" s="13">
        <v>3</v>
      </c>
      <c r="K57" s="13"/>
    </row>
    <row r="58" s="2" customFormat="1" ht="46" customHeight="1" spans="1:11">
      <c r="A58" s="13">
        <v>55</v>
      </c>
      <c r="B58" s="14" t="s">
        <v>30</v>
      </c>
      <c r="C58" s="13" t="str">
        <f>"202403010119"</f>
        <v>202403010119</v>
      </c>
      <c r="D58" s="13" t="str">
        <f>"谢结惠"</f>
        <v>谢结惠</v>
      </c>
      <c r="E58" s="19">
        <v>65.75</v>
      </c>
      <c r="F58" s="16">
        <f t="shared" si="0"/>
        <v>32.88</v>
      </c>
      <c r="G58" s="20">
        <v>79.67</v>
      </c>
      <c r="H58" s="16">
        <f t="shared" si="1"/>
        <v>39.84</v>
      </c>
      <c r="I58" s="16">
        <f t="shared" si="2"/>
        <v>72.72</v>
      </c>
      <c r="J58" s="13">
        <v>1</v>
      </c>
      <c r="K58" s="13"/>
    </row>
    <row r="59" s="2" customFormat="1" ht="46" customHeight="1" spans="1:11">
      <c r="A59" s="13">
        <v>56</v>
      </c>
      <c r="B59" s="14" t="s">
        <v>30</v>
      </c>
      <c r="C59" s="13" t="str">
        <f>"202403010106"</f>
        <v>202403010106</v>
      </c>
      <c r="D59" s="13" t="str">
        <f>"黄倩"</f>
        <v>黄倩</v>
      </c>
      <c r="E59" s="15">
        <v>67.35</v>
      </c>
      <c r="F59" s="16">
        <f t="shared" si="0"/>
        <v>33.68</v>
      </c>
      <c r="G59" s="20">
        <v>75.5</v>
      </c>
      <c r="H59" s="16">
        <f t="shared" si="1"/>
        <v>37.75</v>
      </c>
      <c r="I59" s="16">
        <f t="shared" si="2"/>
        <v>71.43</v>
      </c>
      <c r="J59" s="13">
        <v>2</v>
      </c>
      <c r="K59" s="13"/>
    </row>
    <row r="60" s="2" customFormat="1" ht="46" customHeight="1" spans="1:11">
      <c r="A60" s="13">
        <v>57</v>
      </c>
      <c r="B60" s="14" t="s">
        <v>30</v>
      </c>
      <c r="C60" s="13" t="str">
        <f>"202403010203"</f>
        <v>202403010203</v>
      </c>
      <c r="D60" s="13" t="str">
        <f>"陈丽娇"</f>
        <v>陈丽娇</v>
      </c>
      <c r="E60" s="15">
        <v>70.34</v>
      </c>
      <c r="F60" s="16">
        <f t="shared" si="0"/>
        <v>35.17</v>
      </c>
      <c r="G60" s="20">
        <v>67</v>
      </c>
      <c r="H60" s="16">
        <f t="shared" si="1"/>
        <v>33.5</v>
      </c>
      <c r="I60" s="16">
        <f t="shared" si="2"/>
        <v>68.67</v>
      </c>
      <c r="J60" s="13">
        <v>3</v>
      </c>
      <c r="K60" s="13"/>
    </row>
    <row r="61" s="2" customFormat="1" ht="46" customHeight="1" spans="1:11">
      <c r="A61" s="13">
        <v>58</v>
      </c>
      <c r="B61" s="14" t="s">
        <v>31</v>
      </c>
      <c r="C61" s="13" t="str">
        <f>"202403016608"</f>
        <v>202403016608</v>
      </c>
      <c r="D61" s="13" t="str">
        <f>"王星代"</f>
        <v>王星代</v>
      </c>
      <c r="E61" s="15">
        <v>75.15</v>
      </c>
      <c r="F61" s="16">
        <f t="shared" si="0"/>
        <v>37.58</v>
      </c>
      <c r="G61" s="20">
        <v>79.67</v>
      </c>
      <c r="H61" s="16">
        <f t="shared" si="1"/>
        <v>39.84</v>
      </c>
      <c r="I61" s="16">
        <f t="shared" si="2"/>
        <v>77.42</v>
      </c>
      <c r="J61" s="13">
        <v>1</v>
      </c>
      <c r="K61" s="13"/>
    </row>
    <row r="62" s="2" customFormat="1" ht="46" customHeight="1" spans="1:11">
      <c r="A62" s="13">
        <v>59</v>
      </c>
      <c r="B62" s="14" t="s">
        <v>31</v>
      </c>
      <c r="C62" s="13" t="str">
        <f>"202403016618"</f>
        <v>202403016618</v>
      </c>
      <c r="D62" s="13" t="str">
        <f>"周活"</f>
        <v>周活</v>
      </c>
      <c r="E62" s="15">
        <v>72.93</v>
      </c>
      <c r="F62" s="16">
        <f t="shared" si="0"/>
        <v>36.47</v>
      </c>
      <c r="G62" s="20">
        <v>78.83</v>
      </c>
      <c r="H62" s="16">
        <f t="shared" si="1"/>
        <v>39.42</v>
      </c>
      <c r="I62" s="16">
        <f t="shared" si="2"/>
        <v>75.89</v>
      </c>
      <c r="J62" s="13">
        <v>2</v>
      </c>
      <c r="K62" s="13"/>
    </row>
    <row r="63" s="2" customFormat="1" ht="46" customHeight="1" spans="1:11">
      <c r="A63" s="13">
        <v>60</v>
      </c>
      <c r="B63" s="14" t="s">
        <v>31</v>
      </c>
      <c r="C63" s="13" t="str">
        <f>"202403016602"</f>
        <v>202403016602</v>
      </c>
      <c r="D63" s="13" t="str">
        <f>"李海艳"</f>
        <v>李海艳</v>
      </c>
      <c r="E63" s="15">
        <v>73.89</v>
      </c>
      <c r="F63" s="16">
        <f t="shared" si="0"/>
        <v>36.95</v>
      </c>
      <c r="G63" s="20">
        <v>72.83</v>
      </c>
      <c r="H63" s="16">
        <f t="shared" si="1"/>
        <v>36.42</v>
      </c>
      <c r="I63" s="16">
        <f t="shared" si="2"/>
        <v>73.37</v>
      </c>
      <c r="J63" s="13">
        <v>3</v>
      </c>
      <c r="K63" s="13"/>
    </row>
    <row r="64" s="2" customFormat="1" ht="46" customHeight="1" spans="1:11">
      <c r="A64" s="13">
        <v>61</v>
      </c>
      <c r="B64" s="14" t="s">
        <v>32</v>
      </c>
      <c r="C64" s="13" t="str">
        <f>"202403020704"</f>
        <v>202403020704</v>
      </c>
      <c r="D64" s="13" t="str">
        <f>"文梅燕"</f>
        <v>文梅燕</v>
      </c>
      <c r="E64" s="15">
        <v>75.64</v>
      </c>
      <c r="F64" s="16">
        <f t="shared" si="0"/>
        <v>37.82</v>
      </c>
      <c r="G64" s="20">
        <v>73</v>
      </c>
      <c r="H64" s="16">
        <f t="shared" si="1"/>
        <v>36.5</v>
      </c>
      <c r="I64" s="16">
        <f t="shared" si="2"/>
        <v>74.32</v>
      </c>
      <c r="J64" s="13">
        <v>1</v>
      </c>
      <c r="K64" s="13"/>
    </row>
    <row r="65" s="2" customFormat="1" ht="46" customHeight="1" spans="1:11">
      <c r="A65" s="13">
        <v>62</v>
      </c>
      <c r="B65" s="14" t="s">
        <v>32</v>
      </c>
      <c r="C65" s="13" t="str">
        <f>"202403020706"</f>
        <v>202403020706</v>
      </c>
      <c r="D65" s="13" t="str">
        <f>"邱茂桦"</f>
        <v>邱茂桦</v>
      </c>
      <c r="E65" s="15">
        <v>69.5</v>
      </c>
      <c r="F65" s="16">
        <f t="shared" si="0"/>
        <v>34.75</v>
      </c>
      <c r="G65" s="20">
        <v>69</v>
      </c>
      <c r="H65" s="16">
        <f t="shared" si="1"/>
        <v>34.5</v>
      </c>
      <c r="I65" s="16">
        <f t="shared" si="2"/>
        <v>69.25</v>
      </c>
      <c r="J65" s="13">
        <v>2</v>
      </c>
      <c r="K65" s="13"/>
    </row>
    <row r="66" s="2" customFormat="1" ht="46" customHeight="1" spans="1:11">
      <c r="A66" s="13">
        <v>63</v>
      </c>
      <c r="B66" s="14" t="s">
        <v>32</v>
      </c>
      <c r="C66" s="13" t="str">
        <f>"202403020701"</f>
        <v>202403020701</v>
      </c>
      <c r="D66" s="13" t="str">
        <f>"林书娜"</f>
        <v>林书娜</v>
      </c>
      <c r="E66" s="15">
        <v>70.51</v>
      </c>
      <c r="F66" s="16">
        <f t="shared" si="0"/>
        <v>35.26</v>
      </c>
      <c r="G66" s="20">
        <v>65.83</v>
      </c>
      <c r="H66" s="16">
        <f t="shared" si="1"/>
        <v>32.92</v>
      </c>
      <c r="I66" s="16">
        <f t="shared" si="2"/>
        <v>68.18</v>
      </c>
      <c r="J66" s="13">
        <v>3</v>
      </c>
      <c r="K66" s="13"/>
    </row>
    <row r="67" s="2" customFormat="1" ht="46" customHeight="1" spans="1:11">
      <c r="A67" s="13">
        <v>64</v>
      </c>
      <c r="B67" s="14" t="s">
        <v>33</v>
      </c>
      <c r="C67" s="13" t="str">
        <f>"202403012522"</f>
        <v>202403012522</v>
      </c>
      <c r="D67" s="13" t="str">
        <f>"吴晓莹"</f>
        <v>吴晓莹</v>
      </c>
      <c r="E67" s="19">
        <v>60.35</v>
      </c>
      <c r="F67" s="16">
        <f t="shared" si="0"/>
        <v>30.18</v>
      </c>
      <c r="G67" s="20">
        <v>77.67</v>
      </c>
      <c r="H67" s="16">
        <f t="shared" si="1"/>
        <v>38.84</v>
      </c>
      <c r="I67" s="16">
        <f t="shared" si="2"/>
        <v>69.02</v>
      </c>
      <c r="J67" s="13">
        <v>1</v>
      </c>
      <c r="K67" s="13"/>
    </row>
    <row r="68" s="2" customFormat="1" ht="46" customHeight="1" spans="1:11">
      <c r="A68" s="13">
        <v>65</v>
      </c>
      <c r="B68" s="14" t="s">
        <v>33</v>
      </c>
      <c r="C68" s="13" t="str">
        <f>"202403012620"</f>
        <v>202403012620</v>
      </c>
      <c r="D68" s="13" t="str">
        <f>"黄日春"</f>
        <v>黄日春</v>
      </c>
      <c r="E68" s="15">
        <v>64.68</v>
      </c>
      <c r="F68" s="16">
        <f t="shared" ref="F68:F131" si="3">E68*0.5</f>
        <v>32.34</v>
      </c>
      <c r="G68" s="20">
        <v>72.5</v>
      </c>
      <c r="H68" s="16">
        <f t="shared" ref="H68:H131" si="4">G68*0.5</f>
        <v>36.25</v>
      </c>
      <c r="I68" s="16">
        <f t="shared" ref="I68:I131" si="5">F68+H68</f>
        <v>68.59</v>
      </c>
      <c r="J68" s="13">
        <v>2</v>
      </c>
      <c r="K68" s="13"/>
    </row>
    <row r="69" s="2" customFormat="1" ht="46" customHeight="1" spans="1:11">
      <c r="A69" s="13">
        <v>66</v>
      </c>
      <c r="B69" s="14" t="s">
        <v>33</v>
      </c>
      <c r="C69" s="13" t="str">
        <f>"202403012616"</f>
        <v>202403012616</v>
      </c>
      <c r="D69" s="13" t="str">
        <f>"盛萌"</f>
        <v>盛萌</v>
      </c>
      <c r="E69" s="15">
        <v>64.05</v>
      </c>
      <c r="F69" s="16">
        <f t="shared" si="3"/>
        <v>32.03</v>
      </c>
      <c r="G69" s="20">
        <v>60.5</v>
      </c>
      <c r="H69" s="16">
        <f t="shared" si="4"/>
        <v>30.25</v>
      </c>
      <c r="I69" s="16">
        <f t="shared" si="5"/>
        <v>62.28</v>
      </c>
      <c r="J69" s="13">
        <v>3</v>
      </c>
      <c r="K69" s="13"/>
    </row>
    <row r="70" s="2" customFormat="1" ht="46" customHeight="1" spans="1:11">
      <c r="A70" s="13">
        <v>67</v>
      </c>
      <c r="B70" s="14" t="s">
        <v>34</v>
      </c>
      <c r="C70" s="13" t="str">
        <f>"202403010319"</f>
        <v>202403010319</v>
      </c>
      <c r="D70" s="13" t="str">
        <f>"王云萍"</f>
        <v>王云萍</v>
      </c>
      <c r="E70" s="15">
        <v>76.21</v>
      </c>
      <c r="F70" s="16">
        <f t="shared" si="3"/>
        <v>38.11</v>
      </c>
      <c r="G70" s="20">
        <v>81</v>
      </c>
      <c r="H70" s="16">
        <f t="shared" si="4"/>
        <v>40.5</v>
      </c>
      <c r="I70" s="16">
        <f t="shared" si="5"/>
        <v>78.61</v>
      </c>
      <c r="J70" s="13">
        <v>1</v>
      </c>
      <c r="K70" s="13"/>
    </row>
    <row r="71" s="2" customFormat="1" ht="46" customHeight="1" spans="1:11">
      <c r="A71" s="13">
        <v>68</v>
      </c>
      <c r="B71" s="14" t="s">
        <v>34</v>
      </c>
      <c r="C71" s="13" t="str">
        <f>"202403010215"</f>
        <v>202403010215</v>
      </c>
      <c r="D71" s="13" t="str">
        <f>"郝伟"</f>
        <v>郝伟</v>
      </c>
      <c r="E71" s="19">
        <v>66.93</v>
      </c>
      <c r="F71" s="16">
        <f t="shared" si="3"/>
        <v>33.47</v>
      </c>
      <c r="G71" s="20">
        <v>69.17</v>
      </c>
      <c r="H71" s="16">
        <f t="shared" si="4"/>
        <v>34.59</v>
      </c>
      <c r="I71" s="16">
        <f t="shared" si="5"/>
        <v>68.06</v>
      </c>
      <c r="J71" s="13">
        <v>2</v>
      </c>
      <c r="K71" s="13"/>
    </row>
    <row r="72" s="2" customFormat="1" ht="46" customHeight="1" spans="1:11">
      <c r="A72" s="13">
        <v>69</v>
      </c>
      <c r="B72" s="14" t="s">
        <v>34</v>
      </c>
      <c r="C72" s="13" t="str">
        <f>"202403010302"</f>
        <v>202403010302</v>
      </c>
      <c r="D72" s="13" t="str">
        <f>"薛婆保"</f>
        <v>薛婆保</v>
      </c>
      <c r="E72" s="19">
        <v>65.74</v>
      </c>
      <c r="F72" s="16">
        <f t="shared" si="3"/>
        <v>32.87</v>
      </c>
      <c r="G72" s="20">
        <v>69</v>
      </c>
      <c r="H72" s="16">
        <f t="shared" si="4"/>
        <v>34.5</v>
      </c>
      <c r="I72" s="16">
        <f t="shared" si="5"/>
        <v>67.37</v>
      </c>
      <c r="J72" s="13">
        <v>3</v>
      </c>
      <c r="K72" s="13"/>
    </row>
    <row r="73" s="2" customFormat="1" ht="46" customHeight="1" spans="1:11">
      <c r="A73" s="13">
        <v>70</v>
      </c>
      <c r="B73" s="14" t="s">
        <v>35</v>
      </c>
      <c r="C73" s="13" t="str">
        <f>"202403016712"</f>
        <v>202403016712</v>
      </c>
      <c r="D73" s="13" t="str">
        <f>"黄梦紫"</f>
        <v>黄梦紫</v>
      </c>
      <c r="E73" s="15">
        <v>76.68</v>
      </c>
      <c r="F73" s="16">
        <f t="shared" si="3"/>
        <v>38.34</v>
      </c>
      <c r="G73" s="20">
        <v>81.5</v>
      </c>
      <c r="H73" s="16">
        <f t="shared" si="4"/>
        <v>40.75</v>
      </c>
      <c r="I73" s="16">
        <f t="shared" si="5"/>
        <v>79.09</v>
      </c>
      <c r="J73" s="13">
        <v>1</v>
      </c>
      <c r="K73" s="13"/>
    </row>
    <row r="74" s="2" customFormat="1" ht="46" customHeight="1" spans="1:11">
      <c r="A74" s="13">
        <v>71</v>
      </c>
      <c r="B74" s="14" t="s">
        <v>35</v>
      </c>
      <c r="C74" s="13" t="str">
        <f>"202403016716"</f>
        <v>202403016716</v>
      </c>
      <c r="D74" s="13" t="str">
        <f>"王安彬"</f>
        <v>王安彬</v>
      </c>
      <c r="E74" s="15">
        <v>83.85</v>
      </c>
      <c r="F74" s="16">
        <f t="shared" si="3"/>
        <v>41.93</v>
      </c>
      <c r="G74" s="20">
        <v>73.5</v>
      </c>
      <c r="H74" s="16">
        <f t="shared" si="4"/>
        <v>36.75</v>
      </c>
      <c r="I74" s="16">
        <f t="shared" si="5"/>
        <v>78.68</v>
      </c>
      <c r="J74" s="13">
        <v>2</v>
      </c>
      <c r="K74" s="13"/>
    </row>
    <row r="75" s="2" customFormat="1" ht="46" customHeight="1" spans="1:11">
      <c r="A75" s="13">
        <v>72</v>
      </c>
      <c r="B75" s="14" t="s">
        <v>35</v>
      </c>
      <c r="C75" s="13" t="str">
        <f>"202403016706"</f>
        <v>202403016706</v>
      </c>
      <c r="D75" s="13" t="str">
        <f>"王柔"</f>
        <v>王柔</v>
      </c>
      <c r="E75" s="15">
        <v>75.79</v>
      </c>
      <c r="F75" s="16">
        <f t="shared" si="3"/>
        <v>37.9</v>
      </c>
      <c r="G75" s="20">
        <v>77.17</v>
      </c>
      <c r="H75" s="16">
        <f t="shared" si="4"/>
        <v>38.59</v>
      </c>
      <c r="I75" s="16">
        <f t="shared" si="5"/>
        <v>76.49</v>
      </c>
      <c r="J75" s="13">
        <v>3</v>
      </c>
      <c r="K75" s="13"/>
    </row>
    <row r="76" s="2" customFormat="1" ht="46" customHeight="1" spans="1:11">
      <c r="A76" s="13">
        <v>73</v>
      </c>
      <c r="B76" s="14" t="s">
        <v>36</v>
      </c>
      <c r="C76" s="13" t="str">
        <f>"202403021720"</f>
        <v>202403021720</v>
      </c>
      <c r="D76" s="13" t="str">
        <f>"李丽南"</f>
        <v>李丽南</v>
      </c>
      <c r="E76" s="15">
        <v>82.31</v>
      </c>
      <c r="F76" s="16">
        <f t="shared" si="3"/>
        <v>41.16</v>
      </c>
      <c r="G76" s="20">
        <v>82.17</v>
      </c>
      <c r="H76" s="16">
        <f t="shared" si="4"/>
        <v>41.09</v>
      </c>
      <c r="I76" s="16">
        <f t="shared" si="5"/>
        <v>82.25</v>
      </c>
      <c r="J76" s="13">
        <v>1</v>
      </c>
      <c r="K76" s="13"/>
    </row>
    <row r="77" s="2" customFormat="1" ht="46" customHeight="1" spans="1:11">
      <c r="A77" s="13">
        <v>74</v>
      </c>
      <c r="B77" s="14" t="s">
        <v>36</v>
      </c>
      <c r="C77" s="13" t="str">
        <f>"202403021623"</f>
        <v>202403021623</v>
      </c>
      <c r="D77" s="13" t="str">
        <f>"李佳洪"</f>
        <v>李佳洪</v>
      </c>
      <c r="E77" s="15">
        <v>75.67</v>
      </c>
      <c r="F77" s="16">
        <f t="shared" si="3"/>
        <v>37.84</v>
      </c>
      <c r="G77" s="20">
        <v>77.83</v>
      </c>
      <c r="H77" s="16">
        <f t="shared" si="4"/>
        <v>38.92</v>
      </c>
      <c r="I77" s="16">
        <f t="shared" si="5"/>
        <v>76.76</v>
      </c>
      <c r="J77" s="13">
        <v>2</v>
      </c>
      <c r="K77" s="13"/>
    </row>
    <row r="78" s="2" customFormat="1" ht="46" customHeight="1" spans="1:11">
      <c r="A78" s="13">
        <v>75</v>
      </c>
      <c r="B78" s="14" t="s">
        <v>36</v>
      </c>
      <c r="C78" s="13" t="str">
        <f>"202403020903"</f>
        <v>202403020903</v>
      </c>
      <c r="D78" s="13" t="str">
        <f>"王恪慧"</f>
        <v>王恪慧</v>
      </c>
      <c r="E78" s="15">
        <v>79.6</v>
      </c>
      <c r="F78" s="16">
        <f t="shared" si="3"/>
        <v>39.8</v>
      </c>
      <c r="G78" s="20">
        <v>73</v>
      </c>
      <c r="H78" s="16">
        <f t="shared" si="4"/>
        <v>36.5</v>
      </c>
      <c r="I78" s="16">
        <f t="shared" si="5"/>
        <v>76.3</v>
      </c>
      <c r="J78" s="13">
        <v>3</v>
      </c>
      <c r="K78" s="13"/>
    </row>
    <row r="79" s="2" customFormat="1" ht="46" customHeight="1" spans="1:11">
      <c r="A79" s="13">
        <v>76</v>
      </c>
      <c r="B79" s="14" t="s">
        <v>36</v>
      </c>
      <c r="C79" s="13" t="str">
        <f>"202403022230"</f>
        <v>202403022230</v>
      </c>
      <c r="D79" s="13" t="str">
        <f>"石晓兰"</f>
        <v>石晓兰</v>
      </c>
      <c r="E79" s="15">
        <v>76.61</v>
      </c>
      <c r="F79" s="16">
        <f t="shared" si="3"/>
        <v>38.31</v>
      </c>
      <c r="G79" s="20">
        <v>75.67</v>
      </c>
      <c r="H79" s="16">
        <f t="shared" si="4"/>
        <v>37.84</v>
      </c>
      <c r="I79" s="16">
        <f t="shared" si="5"/>
        <v>76.15</v>
      </c>
      <c r="J79" s="13">
        <v>4</v>
      </c>
      <c r="K79" s="13"/>
    </row>
    <row r="80" s="2" customFormat="1" ht="46" customHeight="1" spans="1:11">
      <c r="A80" s="13">
        <v>77</v>
      </c>
      <c r="B80" s="14" t="s">
        <v>36</v>
      </c>
      <c r="C80" s="13" t="str">
        <f>"202403021319"</f>
        <v>202403021319</v>
      </c>
      <c r="D80" s="13" t="str">
        <f>"刘佩"</f>
        <v>刘佩</v>
      </c>
      <c r="E80" s="15">
        <v>74.62</v>
      </c>
      <c r="F80" s="16">
        <f t="shared" si="3"/>
        <v>37.31</v>
      </c>
      <c r="G80" s="20">
        <v>73.5</v>
      </c>
      <c r="H80" s="16">
        <f t="shared" si="4"/>
        <v>36.75</v>
      </c>
      <c r="I80" s="16">
        <f t="shared" si="5"/>
        <v>74.06</v>
      </c>
      <c r="J80" s="13">
        <v>5</v>
      </c>
      <c r="K80" s="13"/>
    </row>
    <row r="81" s="2" customFormat="1" ht="46" customHeight="1" spans="1:11">
      <c r="A81" s="13">
        <v>78</v>
      </c>
      <c r="B81" s="14" t="s">
        <v>36</v>
      </c>
      <c r="C81" s="13" t="str">
        <f>"202403020815"</f>
        <v>202403020815</v>
      </c>
      <c r="D81" s="13" t="str">
        <f>"王雨微"</f>
        <v>王雨微</v>
      </c>
      <c r="E81" s="15">
        <v>75.38</v>
      </c>
      <c r="F81" s="16">
        <f t="shared" si="3"/>
        <v>37.69</v>
      </c>
      <c r="G81" s="20">
        <v>72.67</v>
      </c>
      <c r="H81" s="16">
        <f t="shared" si="4"/>
        <v>36.34</v>
      </c>
      <c r="I81" s="16">
        <f t="shared" si="5"/>
        <v>74.03</v>
      </c>
      <c r="J81" s="13">
        <v>6</v>
      </c>
      <c r="K81" s="13"/>
    </row>
    <row r="82" s="2" customFormat="1" ht="46" customHeight="1" spans="1:11">
      <c r="A82" s="13">
        <v>79</v>
      </c>
      <c r="B82" s="14" t="s">
        <v>36</v>
      </c>
      <c r="C82" s="13" t="str">
        <f>"202403022017"</f>
        <v>202403022017</v>
      </c>
      <c r="D82" s="13" t="str">
        <f>"陈冰冰"</f>
        <v>陈冰冰</v>
      </c>
      <c r="E82" s="15">
        <v>74.03</v>
      </c>
      <c r="F82" s="16">
        <f t="shared" si="3"/>
        <v>37.02</v>
      </c>
      <c r="G82" s="20">
        <v>72.83</v>
      </c>
      <c r="H82" s="16">
        <f t="shared" si="4"/>
        <v>36.42</v>
      </c>
      <c r="I82" s="16">
        <f t="shared" si="5"/>
        <v>73.44</v>
      </c>
      <c r="J82" s="13">
        <v>7</v>
      </c>
      <c r="K82" s="13"/>
    </row>
    <row r="83" s="2" customFormat="1" ht="46" customHeight="1" spans="1:11">
      <c r="A83" s="13">
        <v>80</v>
      </c>
      <c r="B83" s="14" t="s">
        <v>36</v>
      </c>
      <c r="C83" s="13" t="str">
        <f>"202403021803"</f>
        <v>202403021803</v>
      </c>
      <c r="D83" s="13" t="str">
        <f>"周和芳"</f>
        <v>周和芳</v>
      </c>
      <c r="E83" s="15">
        <v>76.09</v>
      </c>
      <c r="F83" s="16">
        <f t="shared" si="3"/>
        <v>38.05</v>
      </c>
      <c r="G83" s="20">
        <v>70.17</v>
      </c>
      <c r="H83" s="16">
        <f t="shared" si="4"/>
        <v>35.09</v>
      </c>
      <c r="I83" s="16">
        <f t="shared" si="5"/>
        <v>73.14</v>
      </c>
      <c r="J83" s="13">
        <v>8</v>
      </c>
      <c r="K83" s="13"/>
    </row>
    <row r="84" s="2" customFormat="1" ht="46" customHeight="1" spans="1:11">
      <c r="A84" s="13">
        <v>81</v>
      </c>
      <c r="B84" s="14" t="s">
        <v>36</v>
      </c>
      <c r="C84" s="13" t="str">
        <f>"202403020902"</f>
        <v>202403020902</v>
      </c>
      <c r="D84" s="13" t="str">
        <f>"叶琳"</f>
        <v>叶琳</v>
      </c>
      <c r="E84" s="15">
        <v>73.78</v>
      </c>
      <c r="F84" s="16">
        <f t="shared" si="3"/>
        <v>36.89</v>
      </c>
      <c r="G84" s="20">
        <v>72.33</v>
      </c>
      <c r="H84" s="16">
        <f t="shared" si="4"/>
        <v>36.17</v>
      </c>
      <c r="I84" s="16">
        <f t="shared" si="5"/>
        <v>73.06</v>
      </c>
      <c r="J84" s="13">
        <v>9</v>
      </c>
      <c r="K84" s="13"/>
    </row>
    <row r="85" s="2" customFormat="1" ht="46" customHeight="1" spans="1:11">
      <c r="A85" s="13">
        <v>82</v>
      </c>
      <c r="B85" s="14" t="s">
        <v>36</v>
      </c>
      <c r="C85" s="13" t="str">
        <f>"202403020918"</f>
        <v>202403020918</v>
      </c>
      <c r="D85" s="13" t="str">
        <f>"马佳雪"</f>
        <v>马佳雪</v>
      </c>
      <c r="E85" s="15">
        <v>73.22</v>
      </c>
      <c r="F85" s="16">
        <f t="shared" si="3"/>
        <v>36.61</v>
      </c>
      <c r="G85" s="20">
        <v>72.17</v>
      </c>
      <c r="H85" s="16">
        <f t="shared" si="4"/>
        <v>36.09</v>
      </c>
      <c r="I85" s="16">
        <f t="shared" si="5"/>
        <v>72.7</v>
      </c>
      <c r="J85" s="13">
        <v>10</v>
      </c>
      <c r="K85" s="13"/>
    </row>
    <row r="86" s="2" customFormat="1" ht="46" customHeight="1" spans="1:11">
      <c r="A86" s="13">
        <v>83</v>
      </c>
      <c r="B86" s="14" t="s">
        <v>36</v>
      </c>
      <c r="C86" s="13" t="str">
        <f>"202403022126"</f>
        <v>202403022126</v>
      </c>
      <c r="D86" s="13" t="str">
        <f>"宋军欢"</f>
        <v>宋军欢</v>
      </c>
      <c r="E86" s="15">
        <v>72.63</v>
      </c>
      <c r="F86" s="16">
        <f t="shared" si="3"/>
        <v>36.32</v>
      </c>
      <c r="G86" s="20">
        <v>72.33</v>
      </c>
      <c r="H86" s="16">
        <f t="shared" si="4"/>
        <v>36.17</v>
      </c>
      <c r="I86" s="16">
        <f t="shared" si="5"/>
        <v>72.49</v>
      </c>
      <c r="J86" s="13">
        <v>11</v>
      </c>
      <c r="K86" s="13"/>
    </row>
    <row r="87" s="2" customFormat="1" ht="46" customHeight="1" spans="1:11">
      <c r="A87" s="13">
        <v>84</v>
      </c>
      <c r="B87" s="14" t="s">
        <v>36</v>
      </c>
      <c r="C87" s="13" t="str">
        <f>"202403021624"</f>
        <v>202403021624</v>
      </c>
      <c r="D87" s="13" t="str">
        <f>"梁晨"</f>
        <v>梁晨</v>
      </c>
      <c r="E87" s="15">
        <v>74.64</v>
      </c>
      <c r="F87" s="16">
        <f t="shared" si="3"/>
        <v>37.32</v>
      </c>
      <c r="G87" s="20">
        <v>68.67</v>
      </c>
      <c r="H87" s="16">
        <f t="shared" si="4"/>
        <v>34.34</v>
      </c>
      <c r="I87" s="16">
        <f t="shared" si="5"/>
        <v>71.66</v>
      </c>
      <c r="J87" s="13">
        <v>12</v>
      </c>
      <c r="K87" s="13"/>
    </row>
    <row r="88" s="2" customFormat="1" ht="46" customHeight="1" spans="1:11">
      <c r="A88" s="13">
        <v>85</v>
      </c>
      <c r="B88" s="14" t="s">
        <v>37</v>
      </c>
      <c r="C88" s="13" t="str">
        <f>"202403013102"</f>
        <v>202403013102</v>
      </c>
      <c r="D88" s="13" t="str">
        <f>"吉美婷"</f>
        <v>吉美婷</v>
      </c>
      <c r="E88" s="15">
        <v>70.45</v>
      </c>
      <c r="F88" s="16">
        <f t="shared" si="3"/>
        <v>35.23</v>
      </c>
      <c r="G88" s="20">
        <v>73.33</v>
      </c>
      <c r="H88" s="16">
        <f t="shared" si="4"/>
        <v>36.67</v>
      </c>
      <c r="I88" s="16">
        <f t="shared" si="5"/>
        <v>71.9</v>
      </c>
      <c r="J88" s="13">
        <v>1</v>
      </c>
      <c r="K88" s="13"/>
    </row>
    <row r="89" s="2" customFormat="1" ht="46" customHeight="1" spans="1:11">
      <c r="A89" s="13">
        <v>86</v>
      </c>
      <c r="B89" s="14" t="s">
        <v>37</v>
      </c>
      <c r="C89" s="13" t="str">
        <f>"202403012902"</f>
        <v>202403012902</v>
      </c>
      <c r="D89" s="13" t="str">
        <f>"卢玉辉"</f>
        <v>卢玉辉</v>
      </c>
      <c r="E89" s="15">
        <v>70.3</v>
      </c>
      <c r="F89" s="16">
        <f t="shared" si="3"/>
        <v>35.15</v>
      </c>
      <c r="G89" s="20">
        <v>72.67</v>
      </c>
      <c r="H89" s="16">
        <f t="shared" si="4"/>
        <v>36.34</v>
      </c>
      <c r="I89" s="16">
        <f t="shared" si="5"/>
        <v>71.49</v>
      </c>
      <c r="J89" s="13">
        <v>2</v>
      </c>
      <c r="K89" s="13"/>
    </row>
    <row r="90" s="2" customFormat="1" ht="46" customHeight="1" spans="1:11">
      <c r="A90" s="13">
        <v>87</v>
      </c>
      <c r="B90" s="14" t="s">
        <v>37</v>
      </c>
      <c r="C90" s="13" t="str">
        <f>"202403012707"</f>
        <v>202403012707</v>
      </c>
      <c r="D90" s="13" t="str">
        <f>"李玉君"</f>
        <v>李玉君</v>
      </c>
      <c r="E90" s="15">
        <v>71.2</v>
      </c>
      <c r="F90" s="16">
        <f t="shared" si="3"/>
        <v>35.6</v>
      </c>
      <c r="G90" s="20">
        <v>70.33</v>
      </c>
      <c r="H90" s="16">
        <f t="shared" si="4"/>
        <v>35.17</v>
      </c>
      <c r="I90" s="16">
        <f t="shared" si="5"/>
        <v>70.77</v>
      </c>
      <c r="J90" s="13">
        <v>3</v>
      </c>
      <c r="K90" s="13"/>
    </row>
    <row r="91" s="2" customFormat="1" ht="46" customHeight="1" spans="1:11">
      <c r="A91" s="13">
        <v>88</v>
      </c>
      <c r="B91" s="14" t="s">
        <v>37</v>
      </c>
      <c r="C91" s="13" t="str">
        <f>"202403012703"</f>
        <v>202403012703</v>
      </c>
      <c r="D91" s="13" t="str">
        <f>"邓燕婷"</f>
        <v>邓燕婷</v>
      </c>
      <c r="E91" s="15">
        <v>72.74</v>
      </c>
      <c r="F91" s="16">
        <f t="shared" si="3"/>
        <v>36.37</v>
      </c>
      <c r="G91" s="20">
        <v>67.67</v>
      </c>
      <c r="H91" s="16">
        <f t="shared" si="4"/>
        <v>33.84</v>
      </c>
      <c r="I91" s="16">
        <f t="shared" si="5"/>
        <v>70.21</v>
      </c>
      <c r="J91" s="13">
        <v>4</v>
      </c>
      <c r="K91" s="13"/>
    </row>
    <row r="92" s="2" customFormat="1" ht="46" customHeight="1" spans="1:11">
      <c r="A92" s="13">
        <v>89</v>
      </c>
      <c r="B92" s="14" t="s">
        <v>37</v>
      </c>
      <c r="C92" s="13" t="str">
        <f>"202403013405"</f>
        <v>202403013405</v>
      </c>
      <c r="D92" s="13" t="str">
        <f>"傅力娟"</f>
        <v>傅力娟</v>
      </c>
      <c r="E92" s="15">
        <v>69.49</v>
      </c>
      <c r="F92" s="16">
        <f t="shared" si="3"/>
        <v>34.75</v>
      </c>
      <c r="G92" s="20">
        <v>70.83</v>
      </c>
      <c r="H92" s="16">
        <f t="shared" si="4"/>
        <v>35.42</v>
      </c>
      <c r="I92" s="16">
        <f t="shared" si="5"/>
        <v>70.17</v>
      </c>
      <c r="J92" s="13">
        <v>5</v>
      </c>
      <c r="K92" s="13"/>
    </row>
    <row r="93" s="2" customFormat="1" ht="46" customHeight="1" spans="1:11">
      <c r="A93" s="13">
        <v>90</v>
      </c>
      <c r="B93" s="14" t="s">
        <v>37</v>
      </c>
      <c r="C93" s="13" t="str">
        <f>"202403012716"</f>
        <v>202403012716</v>
      </c>
      <c r="D93" s="13" t="str">
        <f>"孙巧娟"</f>
        <v>孙巧娟</v>
      </c>
      <c r="E93" s="19">
        <v>68.38</v>
      </c>
      <c r="F93" s="16">
        <f t="shared" si="3"/>
        <v>34.19</v>
      </c>
      <c r="G93" s="20">
        <v>69.83</v>
      </c>
      <c r="H93" s="16">
        <f t="shared" si="4"/>
        <v>34.92</v>
      </c>
      <c r="I93" s="16">
        <f t="shared" si="5"/>
        <v>69.11</v>
      </c>
      <c r="J93" s="13">
        <v>6</v>
      </c>
      <c r="K93" s="13"/>
    </row>
    <row r="94" s="2" customFormat="1" ht="46" customHeight="1" spans="1:11">
      <c r="A94" s="13">
        <v>91</v>
      </c>
      <c r="B94" s="14" t="s">
        <v>37</v>
      </c>
      <c r="C94" s="13" t="str">
        <f>"202403013301"</f>
        <v>202403013301</v>
      </c>
      <c r="D94" s="13" t="str">
        <f>"陈丽娜"</f>
        <v>陈丽娜</v>
      </c>
      <c r="E94" s="15">
        <v>72.11</v>
      </c>
      <c r="F94" s="16">
        <f t="shared" si="3"/>
        <v>36.06</v>
      </c>
      <c r="G94" s="20">
        <v>65.5</v>
      </c>
      <c r="H94" s="16">
        <f t="shared" si="4"/>
        <v>32.75</v>
      </c>
      <c r="I94" s="16">
        <f t="shared" si="5"/>
        <v>68.81</v>
      </c>
      <c r="J94" s="13">
        <v>7</v>
      </c>
      <c r="K94" s="13"/>
    </row>
    <row r="95" s="2" customFormat="1" ht="46" customHeight="1" spans="1:11">
      <c r="A95" s="13">
        <v>92</v>
      </c>
      <c r="B95" s="14" t="s">
        <v>37</v>
      </c>
      <c r="C95" s="13" t="str">
        <f>"202403013210"</f>
        <v>202403013210</v>
      </c>
      <c r="D95" s="13" t="str">
        <f>"孙霞飞"</f>
        <v>孙霞飞</v>
      </c>
      <c r="E95" s="15">
        <v>70.4</v>
      </c>
      <c r="F95" s="16">
        <f t="shared" si="3"/>
        <v>35.2</v>
      </c>
      <c r="G95" s="20">
        <v>64.33</v>
      </c>
      <c r="H95" s="16">
        <f t="shared" si="4"/>
        <v>32.17</v>
      </c>
      <c r="I95" s="16">
        <f t="shared" si="5"/>
        <v>67.37</v>
      </c>
      <c r="J95" s="13">
        <v>8</v>
      </c>
      <c r="K95" s="13"/>
    </row>
    <row r="96" s="2" customFormat="1" ht="46" customHeight="1" spans="1:11">
      <c r="A96" s="13">
        <v>93</v>
      </c>
      <c r="B96" s="14" t="s">
        <v>37</v>
      </c>
      <c r="C96" s="13" t="str">
        <f>"202403013216"</f>
        <v>202403013216</v>
      </c>
      <c r="D96" s="13" t="str">
        <f>"田文芳"</f>
        <v>田文芳</v>
      </c>
      <c r="E96" s="15">
        <v>70.33</v>
      </c>
      <c r="F96" s="16">
        <f t="shared" si="3"/>
        <v>35.17</v>
      </c>
      <c r="G96" s="20">
        <v>63.83</v>
      </c>
      <c r="H96" s="16">
        <f t="shared" si="4"/>
        <v>31.92</v>
      </c>
      <c r="I96" s="16">
        <f t="shared" si="5"/>
        <v>67.09</v>
      </c>
      <c r="J96" s="13">
        <v>9</v>
      </c>
      <c r="K96" s="13"/>
    </row>
    <row r="97" s="2" customFormat="1" ht="46" customHeight="1" spans="1:11">
      <c r="A97" s="13">
        <v>94</v>
      </c>
      <c r="B97" s="14" t="s">
        <v>38</v>
      </c>
      <c r="C97" s="13" t="str">
        <f>"202403024606"</f>
        <v>202403024606</v>
      </c>
      <c r="D97" s="13" t="str">
        <f>"徐永玲"</f>
        <v>徐永玲</v>
      </c>
      <c r="E97" s="15">
        <v>74.65</v>
      </c>
      <c r="F97" s="16">
        <f t="shared" si="3"/>
        <v>37.33</v>
      </c>
      <c r="G97" s="20">
        <v>82.83</v>
      </c>
      <c r="H97" s="16">
        <f t="shared" si="4"/>
        <v>41.42</v>
      </c>
      <c r="I97" s="16">
        <f t="shared" si="5"/>
        <v>78.75</v>
      </c>
      <c r="J97" s="13">
        <v>1</v>
      </c>
      <c r="K97" s="13"/>
    </row>
    <row r="98" s="2" customFormat="1" ht="46" customHeight="1" spans="1:11">
      <c r="A98" s="13">
        <v>95</v>
      </c>
      <c r="B98" s="14" t="s">
        <v>38</v>
      </c>
      <c r="C98" s="13" t="str">
        <f>"202403024602"</f>
        <v>202403024602</v>
      </c>
      <c r="D98" s="13" t="str">
        <f>"邢雪喜"</f>
        <v>邢雪喜</v>
      </c>
      <c r="E98" s="15">
        <v>72.13</v>
      </c>
      <c r="F98" s="16">
        <f t="shared" si="3"/>
        <v>36.07</v>
      </c>
      <c r="G98" s="20">
        <v>72.5</v>
      </c>
      <c r="H98" s="16">
        <f t="shared" si="4"/>
        <v>36.25</v>
      </c>
      <c r="I98" s="16">
        <f t="shared" si="5"/>
        <v>72.32</v>
      </c>
      <c r="J98" s="13">
        <v>2</v>
      </c>
      <c r="K98" s="13"/>
    </row>
    <row r="99" s="2" customFormat="1" ht="46" customHeight="1" spans="1:11">
      <c r="A99" s="13">
        <v>96</v>
      </c>
      <c r="B99" s="14" t="s">
        <v>38</v>
      </c>
      <c r="C99" s="13" t="str">
        <f>"202403024601"</f>
        <v>202403024601</v>
      </c>
      <c r="D99" s="13" t="str">
        <f>"陈秀梅"</f>
        <v>陈秀梅</v>
      </c>
      <c r="E99" s="15">
        <v>70.55</v>
      </c>
      <c r="F99" s="16">
        <f t="shared" si="3"/>
        <v>35.28</v>
      </c>
      <c r="G99" s="20">
        <v>63.33</v>
      </c>
      <c r="H99" s="16">
        <f t="shared" si="4"/>
        <v>31.67</v>
      </c>
      <c r="I99" s="16">
        <f t="shared" si="5"/>
        <v>66.95</v>
      </c>
      <c r="J99" s="13">
        <v>3</v>
      </c>
      <c r="K99" s="13"/>
    </row>
    <row r="100" s="2" customFormat="1" ht="46" customHeight="1" spans="1:11">
      <c r="A100" s="13">
        <v>97</v>
      </c>
      <c r="B100" s="14" t="s">
        <v>39</v>
      </c>
      <c r="C100" s="13" t="str">
        <f>"202403014629"</f>
        <v>202403014629</v>
      </c>
      <c r="D100" s="13" t="str">
        <f>"陈元治"</f>
        <v>陈元治</v>
      </c>
      <c r="E100" s="15">
        <v>79.84</v>
      </c>
      <c r="F100" s="16">
        <f t="shared" si="3"/>
        <v>39.92</v>
      </c>
      <c r="G100" s="20">
        <v>83.17</v>
      </c>
      <c r="H100" s="16">
        <f t="shared" si="4"/>
        <v>41.59</v>
      </c>
      <c r="I100" s="16">
        <f t="shared" si="5"/>
        <v>81.51</v>
      </c>
      <c r="J100" s="13">
        <v>1</v>
      </c>
      <c r="K100" s="13"/>
    </row>
    <row r="101" s="2" customFormat="1" ht="46" customHeight="1" spans="1:11">
      <c r="A101" s="13">
        <v>98</v>
      </c>
      <c r="B101" s="14" t="s">
        <v>39</v>
      </c>
      <c r="C101" s="13" t="str">
        <f>"202403014512"</f>
        <v>202403014512</v>
      </c>
      <c r="D101" s="13" t="str">
        <f>"王海云"</f>
        <v>王海云</v>
      </c>
      <c r="E101" s="15">
        <v>75.73</v>
      </c>
      <c r="F101" s="16">
        <f t="shared" si="3"/>
        <v>37.87</v>
      </c>
      <c r="G101" s="20">
        <v>79.33</v>
      </c>
      <c r="H101" s="16">
        <f t="shared" si="4"/>
        <v>39.67</v>
      </c>
      <c r="I101" s="16">
        <f t="shared" si="5"/>
        <v>77.54</v>
      </c>
      <c r="J101" s="13">
        <v>2</v>
      </c>
      <c r="K101" s="13"/>
    </row>
    <row r="102" s="2" customFormat="1" ht="46" customHeight="1" spans="1:11">
      <c r="A102" s="13">
        <v>99</v>
      </c>
      <c r="B102" s="14" t="s">
        <v>39</v>
      </c>
      <c r="C102" s="13" t="str">
        <f>"202403014522"</f>
        <v>202403014522</v>
      </c>
      <c r="D102" s="13" t="str">
        <f>"柯洋"</f>
        <v>柯洋</v>
      </c>
      <c r="E102" s="15">
        <v>77.19</v>
      </c>
      <c r="F102" s="16">
        <f t="shared" si="3"/>
        <v>38.6</v>
      </c>
      <c r="G102" s="20">
        <v>69.5</v>
      </c>
      <c r="H102" s="16">
        <f t="shared" si="4"/>
        <v>34.75</v>
      </c>
      <c r="I102" s="16">
        <f t="shared" si="5"/>
        <v>73.35</v>
      </c>
      <c r="J102" s="13">
        <v>3</v>
      </c>
      <c r="K102" s="13"/>
    </row>
    <row r="103" s="2" customFormat="1" ht="46" customHeight="1" spans="1:11">
      <c r="A103" s="13">
        <v>100</v>
      </c>
      <c r="B103" s="14" t="s">
        <v>40</v>
      </c>
      <c r="C103" s="13" t="str">
        <f>"202403016820"</f>
        <v>202403016820</v>
      </c>
      <c r="D103" s="13" t="str">
        <f>"韩子珍"</f>
        <v>韩子珍</v>
      </c>
      <c r="E103" s="15">
        <v>76.77</v>
      </c>
      <c r="F103" s="16">
        <f t="shared" si="3"/>
        <v>38.39</v>
      </c>
      <c r="G103" s="20">
        <v>75</v>
      </c>
      <c r="H103" s="16">
        <f t="shared" si="4"/>
        <v>37.5</v>
      </c>
      <c r="I103" s="16">
        <f t="shared" si="5"/>
        <v>75.89</v>
      </c>
      <c r="J103" s="13">
        <v>1</v>
      </c>
      <c r="K103" s="13"/>
    </row>
    <row r="104" s="2" customFormat="1" ht="46" customHeight="1" spans="1:11">
      <c r="A104" s="13">
        <v>101</v>
      </c>
      <c r="B104" s="14" t="s">
        <v>40</v>
      </c>
      <c r="C104" s="13" t="str">
        <f>"202403016822"</f>
        <v>202403016822</v>
      </c>
      <c r="D104" s="13" t="str">
        <f>"林娟"</f>
        <v>林娟</v>
      </c>
      <c r="E104" s="15">
        <v>73.43</v>
      </c>
      <c r="F104" s="16">
        <f t="shared" si="3"/>
        <v>36.72</v>
      </c>
      <c r="G104" s="20">
        <v>77.67</v>
      </c>
      <c r="H104" s="16">
        <f t="shared" si="4"/>
        <v>38.84</v>
      </c>
      <c r="I104" s="16">
        <f t="shared" si="5"/>
        <v>75.56</v>
      </c>
      <c r="J104" s="13">
        <v>2</v>
      </c>
      <c r="K104" s="13"/>
    </row>
    <row r="105" s="2" customFormat="1" ht="46" customHeight="1" spans="1:11">
      <c r="A105" s="13">
        <v>102</v>
      </c>
      <c r="B105" s="14" t="s">
        <v>40</v>
      </c>
      <c r="C105" s="13" t="str">
        <f>"202403016815"</f>
        <v>202403016815</v>
      </c>
      <c r="D105" s="13" t="str">
        <f>"符少茹"</f>
        <v>符少茹</v>
      </c>
      <c r="E105" s="15">
        <v>73.88</v>
      </c>
      <c r="F105" s="16">
        <f t="shared" si="3"/>
        <v>36.94</v>
      </c>
      <c r="G105" s="20">
        <v>70.17</v>
      </c>
      <c r="H105" s="16">
        <f t="shared" si="4"/>
        <v>35.09</v>
      </c>
      <c r="I105" s="16">
        <f t="shared" si="5"/>
        <v>72.03</v>
      </c>
      <c r="J105" s="13">
        <v>3</v>
      </c>
      <c r="K105" s="13"/>
    </row>
    <row r="106" s="2" customFormat="1" ht="46" customHeight="1" spans="1:11">
      <c r="A106" s="13">
        <v>103</v>
      </c>
      <c r="B106" s="14" t="s">
        <v>41</v>
      </c>
      <c r="C106" s="13" t="str">
        <f>"202403022405"</f>
        <v>202403022405</v>
      </c>
      <c r="D106" s="13" t="str">
        <f>"李文珍"</f>
        <v>李文珍</v>
      </c>
      <c r="E106" s="15">
        <v>70.35</v>
      </c>
      <c r="F106" s="16">
        <f t="shared" si="3"/>
        <v>35.18</v>
      </c>
      <c r="G106" s="20">
        <v>84</v>
      </c>
      <c r="H106" s="16">
        <f t="shared" si="4"/>
        <v>42</v>
      </c>
      <c r="I106" s="16">
        <f t="shared" si="5"/>
        <v>77.18</v>
      </c>
      <c r="J106" s="13">
        <v>1</v>
      </c>
      <c r="K106" s="13"/>
    </row>
    <row r="107" s="2" customFormat="1" ht="46" customHeight="1" spans="1:11">
      <c r="A107" s="13">
        <v>104</v>
      </c>
      <c r="B107" s="14" t="s">
        <v>41</v>
      </c>
      <c r="C107" s="13" t="str">
        <f>"202403022605"</f>
        <v>202403022605</v>
      </c>
      <c r="D107" s="13" t="str">
        <f>"王蕾"</f>
        <v>王蕾</v>
      </c>
      <c r="E107" s="15">
        <v>70.41</v>
      </c>
      <c r="F107" s="16">
        <f t="shared" si="3"/>
        <v>35.21</v>
      </c>
      <c r="G107" s="20">
        <v>71.83</v>
      </c>
      <c r="H107" s="16">
        <f t="shared" si="4"/>
        <v>35.92</v>
      </c>
      <c r="I107" s="16">
        <f t="shared" si="5"/>
        <v>71.13</v>
      </c>
      <c r="J107" s="13">
        <v>2</v>
      </c>
      <c r="K107" s="13"/>
    </row>
    <row r="108" s="2" customFormat="1" ht="46" customHeight="1" spans="1:11">
      <c r="A108" s="13">
        <v>105</v>
      </c>
      <c r="B108" s="14" t="s">
        <v>41</v>
      </c>
      <c r="C108" s="13" t="str">
        <f>"202403022412"</f>
        <v>202403022412</v>
      </c>
      <c r="D108" s="13" t="str">
        <f>"吴盈盈"</f>
        <v>吴盈盈</v>
      </c>
      <c r="E108" s="15">
        <v>68.27</v>
      </c>
      <c r="F108" s="16">
        <f t="shared" si="3"/>
        <v>34.14</v>
      </c>
      <c r="G108" s="20">
        <v>68.67</v>
      </c>
      <c r="H108" s="16">
        <f t="shared" si="4"/>
        <v>34.34</v>
      </c>
      <c r="I108" s="16">
        <f t="shared" si="5"/>
        <v>68.48</v>
      </c>
      <c r="J108" s="13">
        <v>3</v>
      </c>
      <c r="K108" s="13"/>
    </row>
    <row r="109" s="2" customFormat="1" ht="46" customHeight="1" spans="1:11">
      <c r="A109" s="13">
        <v>106</v>
      </c>
      <c r="B109" s="14" t="s">
        <v>42</v>
      </c>
      <c r="C109" s="13" t="str">
        <f>"202403010407"</f>
        <v>202403010407</v>
      </c>
      <c r="D109" s="13" t="str">
        <f>"文霞"</f>
        <v>文霞</v>
      </c>
      <c r="E109" s="15">
        <v>74.71</v>
      </c>
      <c r="F109" s="16">
        <f t="shared" si="3"/>
        <v>37.36</v>
      </c>
      <c r="G109" s="20">
        <v>81.33</v>
      </c>
      <c r="H109" s="16">
        <f t="shared" si="4"/>
        <v>40.67</v>
      </c>
      <c r="I109" s="16">
        <f t="shared" si="5"/>
        <v>78.03</v>
      </c>
      <c r="J109" s="13">
        <v>1</v>
      </c>
      <c r="K109" s="13"/>
    </row>
    <row r="110" s="2" customFormat="1" ht="46" customHeight="1" spans="1:11">
      <c r="A110" s="13">
        <v>107</v>
      </c>
      <c r="B110" s="14" t="s">
        <v>42</v>
      </c>
      <c r="C110" s="13" t="str">
        <f>"202403010325"</f>
        <v>202403010325</v>
      </c>
      <c r="D110" s="13" t="str">
        <f>"盛月婷"</f>
        <v>盛月婷</v>
      </c>
      <c r="E110" s="15">
        <v>73.92</v>
      </c>
      <c r="F110" s="16">
        <f t="shared" si="3"/>
        <v>36.96</v>
      </c>
      <c r="G110" s="20">
        <v>75</v>
      </c>
      <c r="H110" s="16">
        <f t="shared" si="4"/>
        <v>37.5</v>
      </c>
      <c r="I110" s="16">
        <f t="shared" si="5"/>
        <v>74.46</v>
      </c>
      <c r="J110" s="13">
        <v>2</v>
      </c>
      <c r="K110" s="13"/>
    </row>
    <row r="111" s="2" customFormat="1" ht="46" customHeight="1" spans="1:11">
      <c r="A111" s="13">
        <v>108</v>
      </c>
      <c r="B111" s="14" t="s">
        <v>42</v>
      </c>
      <c r="C111" s="13" t="str">
        <f>"202403010323"</f>
        <v>202403010323</v>
      </c>
      <c r="D111" s="13" t="str">
        <f>"麦笃萍"</f>
        <v>麦笃萍</v>
      </c>
      <c r="E111" s="15">
        <v>75.11</v>
      </c>
      <c r="F111" s="16">
        <f t="shared" si="3"/>
        <v>37.56</v>
      </c>
      <c r="G111" s="20">
        <v>73</v>
      </c>
      <c r="H111" s="16">
        <f t="shared" si="4"/>
        <v>36.5</v>
      </c>
      <c r="I111" s="16">
        <f t="shared" si="5"/>
        <v>74.06</v>
      </c>
      <c r="J111" s="13">
        <v>3</v>
      </c>
      <c r="K111" s="13"/>
    </row>
    <row r="112" s="2" customFormat="1" ht="46" customHeight="1" spans="1:11">
      <c r="A112" s="13">
        <v>109</v>
      </c>
      <c r="B112" s="14" t="s">
        <v>43</v>
      </c>
      <c r="C112" s="13" t="str">
        <f>"202403016916"</f>
        <v>202403016916</v>
      </c>
      <c r="D112" s="13" t="str">
        <f>"麦珠绮"</f>
        <v>麦珠绮</v>
      </c>
      <c r="E112" s="15">
        <v>73.62</v>
      </c>
      <c r="F112" s="16">
        <f t="shared" si="3"/>
        <v>36.81</v>
      </c>
      <c r="G112" s="20">
        <v>76.5</v>
      </c>
      <c r="H112" s="16">
        <f t="shared" si="4"/>
        <v>38.25</v>
      </c>
      <c r="I112" s="16">
        <f t="shared" si="5"/>
        <v>75.06</v>
      </c>
      <c r="J112" s="13">
        <v>1</v>
      </c>
      <c r="K112" s="13"/>
    </row>
    <row r="113" s="2" customFormat="1" ht="46" customHeight="1" spans="1:11">
      <c r="A113" s="13">
        <v>110</v>
      </c>
      <c r="B113" s="14" t="s">
        <v>43</v>
      </c>
      <c r="C113" s="13" t="str">
        <f>"202403016922"</f>
        <v>202403016922</v>
      </c>
      <c r="D113" s="13" t="str">
        <f>"麦娜"</f>
        <v>麦娜</v>
      </c>
      <c r="E113" s="15">
        <v>71.82</v>
      </c>
      <c r="F113" s="16">
        <f t="shared" si="3"/>
        <v>35.91</v>
      </c>
      <c r="G113" s="20">
        <v>75.67</v>
      </c>
      <c r="H113" s="16">
        <f t="shared" si="4"/>
        <v>37.84</v>
      </c>
      <c r="I113" s="16">
        <f t="shared" si="5"/>
        <v>73.75</v>
      </c>
      <c r="J113" s="13">
        <v>2</v>
      </c>
      <c r="K113" s="13"/>
    </row>
    <row r="114" s="2" customFormat="1" ht="46" customHeight="1" spans="1:11">
      <c r="A114" s="13">
        <v>111</v>
      </c>
      <c r="B114" s="14" t="s">
        <v>43</v>
      </c>
      <c r="C114" s="13" t="str">
        <f>"202403016829"</f>
        <v>202403016829</v>
      </c>
      <c r="D114" s="13" t="str">
        <f>"苏华鑫"</f>
        <v>苏华鑫</v>
      </c>
      <c r="E114" s="15">
        <v>72.43</v>
      </c>
      <c r="F114" s="16">
        <f t="shared" si="3"/>
        <v>36.22</v>
      </c>
      <c r="G114" s="20">
        <v>64.83</v>
      </c>
      <c r="H114" s="16">
        <f t="shared" si="4"/>
        <v>32.42</v>
      </c>
      <c r="I114" s="16">
        <f t="shared" si="5"/>
        <v>68.64</v>
      </c>
      <c r="J114" s="13">
        <v>3</v>
      </c>
      <c r="K114" s="13"/>
    </row>
    <row r="115" s="2" customFormat="1" ht="46" customHeight="1" spans="1:11">
      <c r="A115" s="13">
        <v>112</v>
      </c>
      <c r="B115" s="14" t="s">
        <v>44</v>
      </c>
      <c r="C115" s="13" t="str">
        <f>"202403023827"</f>
        <v>202403023827</v>
      </c>
      <c r="D115" s="13" t="str">
        <f>"刘朋会"</f>
        <v>刘朋会</v>
      </c>
      <c r="E115" s="15">
        <v>73.91</v>
      </c>
      <c r="F115" s="16">
        <f t="shared" si="3"/>
        <v>36.96</v>
      </c>
      <c r="G115" s="20">
        <v>72.67</v>
      </c>
      <c r="H115" s="16">
        <f t="shared" si="4"/>
        <v>36.34</v>
      </c>
      <c r="I115" s="16">
        <f t="shared" si="5"/>
        <v>73.3</v>
      </c>
      <c r="J115" s="13">
        <v>1</v>
      </c>
      <c r="K115" s="13"/>
    </row>
    <row r="116" s="2" customFormat="1" ht="46" customHeight="1" spans="1:11">
      <c r="A116" s="13">
        <v>113</v>
      </c>
      <c r="B116" s="14" t="s">
        <v>44</v>
      </c>
      <c r="C116" s="13" t="str">
        <f>"202403023725"</f>
        <v>202403023725</v>
      </c>
      <c r="D116" s="13" t="str">
        <f>"张柏菏"</f>
        <v>张柏菏</v>
      </c>
      <c r="E116" s="15">
        <v>66.75</v>
      </c>
      <c r="F116" s="16">
        <f t="shared" si="3"/>
        <v>33.38</v>
      </c>
      <c r="G116" s="20">
        <v>73.33</v>
      </c>
      <c r="H116" s="16">
        <f t="shared" si="4"/>
        <v>36.67</v>
      </c>
      <c r="I116" s="16">
        <f t="shared" si="5"/>
        <v>70.05</v>
      </c>
      <c r="J116" s="13">
        <v>2</v>
      </c>
      <c r="K116" s="13"/>
    </row>
    <row r="117" s="2" customFormat="1" ht="46" customHeight="1" spans="1:11">
      <c r="A117" s="13">
        <v>114</v>
      </c>
      <c r="B117" s="14" t="s">
        <v>44</v>
      </c>
      <c r="C117" s="13" t="str">
        <f>"202403023812"</f>
        <v>202403023812</v>
      </c>
      <c r="D117" s="13" t="str">
        <f>"韩飞"</f>
        <v>韩飞</v>
      </c>
      <c r="E117" s="15">
        <v>64.76</v>
      </c>
      <c r="F117" s="16">
        <f t="shared" si="3"/>
        <v>32.38</v>
      </c>
      <c r="G117" s="20">
        <v>70.33</v>
      </c>
      <c r="H117" s="16">
        <f t="shared" si="4"/>
        <v>35.17</v>
      </c>
      <c r="I117" s="16">
        <f t="shared" si="5"/>
        <v>67.55</v>
      </c>
      <c r="J117" s="13">
        <v>3</v>
      </c>
      <c r="K117" s="13"/>
    </row>
    <row r="118" s="2" customFormat="1" ht="46" customHeight="1" spans="1:11">
      <c r="A118" s="13">
        <v>115</v>
      </c>
      <c r="B118" s="14" t="s">
        <v>45</v>
      </c>
      <c r="C118" s="13" t="str">
        <f>"202403016325"</f>
        <v>202403016325</v>
      </c>
      <c r="D118" s="13" t="str">
        <f>"洪雅"</f>
        <v>洪雅</v>
      </c>
      <c r="E118" s="15">
        <v>75.33</v>
      </c>
      <c r="F118" s="16">
        <f t="shared" si="3"/>
        <v>37.67</v>
      </c>
      <c r="G118" s="20">
        <v>73</v>
      </c>
      <c r="H118" s="16">
        <f t="shared" si="4"/>
        <v>36.5</v>
      </c>
      <c r="I118" s="16">
        <f t="shared" si="5"/>
        <v>74.17</v>
      </c>
      <c r="J118" s="13">
        <v>1</v>
      </c>
      <c r="K118" s="13"/>
    </row>
    <row r="119" s="2" customFormat="1" ht="46" customHeight="1" spans="1:11">
      <c r="A119" s="13">
        <v>116</v>
      </c>
      <c r="B119" s="14" t="s">
        <v>45</v>
      </c>
      <c r="C119" s="13" t="str">
        <f>"202403016406"</f>
        <v>202403016406</v>
      </c>
      <c r="D119" s="13" t="str">
        <f>"高丽芝"</f>
        <v>高丽芝</v>
      </c>
      <c r="E119" s="15">
        <v>72.66</v>
      </c>
      <c r="F119" s="16">
        <f t="shared" si="3"/>
        <v>36.33</v>
      </c>
      <c r="G119" s="20">
        <v>70</v>
      </c>
      <c r="H119" s="16">
        <f t="shared" si="4"/>
        <v>35</v>
      </c>
      <c r="I119" s="16">
        <f t="shared" si="5"/>
        <v>71.33</v>
      </c>
      <c r="J119" s="13">
        <v>2</v>
      </c>
      <c r="K119" s="13"/>
    </row>
    <row r="120" s="2" customFormat="1" ht="46" customHeight="1" spans="1:11">
      <c r="A120" s="13">
        <v>117</v>
      </c>
      <c r="B120" s="14" t="s">
        <v>45</v>
      </c>
      <c r="C120" s="13" t="str">
        <f>"202403016321"</f>
        <v>202403016321</v>
      </c>
      <c r="D120" s="13" t="str">
        <f>"陈丽平"</f>
        <v>陈丽平</v>
      </c>
      <c r="E120" s="15">
        <v>74.09</v>
      </c>
      <c r="F120" s="16">
        <f t="shared" si="3"/>
        <v>37.05</v>
      </c>
      <c r="G120" s="20">
        <v>67.5</v>
      </c>
      <c r="H120" s="16">
        <f t="shared" si="4"/>
        <v>33.75</v>
      </c>
      <c r="I120" s="16">
        <f t="shared" si="5"/>
        <v>70.8</v>
      </c>
      <c r="J120" s="13">
        <v>3</v>
      </c>
      <c r="K120" s="13"/>
    </row>
    <row r="121" s="2" customFormat="1" ht="46" customHeight="1" spans="1:11">
      <c r="A121" s="13">
        <v>118</v>
      </c>
      <c r="B121" s="14" t="s">
        <v>46</v>
      </c>
      <c r="C121" s="13" t="str">
        <f>"202403014311"</f>
        <v>202403014311</v>
      </c>
      <c r="D121" s="13" t="str">
        <f>"彭志坚"</f>
        <v>彭志坚</v>
      </c>
      <c r="E121" s="15">
        <v>79.48</v>
      </c>
      <c r="F121" s="16">
        <f t="shared" si="3"/>
        <v>39.74</v>
      </c>
      <c r="G121" s="20">
        <v>61.5</v>
      </c>
      <c r="H121" s="16">
        <f t="shared" si="4"/>
        <v>30.75</v>
      </c>
      <c r="I121" s="16">
        <f t="shared" si="5"/>
        <v>70.49</v>
      </c>
      <c r="J121" s="13">
        <v>1</v>
      </c>
      <c r="K121" s="13"/>
    </row>
    <row r="122" s="2" customFormat="1" ht="46" customHeight="1" spans="1:11">
      <c r="A122" s="13">
        <v>119</v>
      </c>
      <c r="B122" s="14" t="s">
        <v>46</v>
      </c>
      <c r="C122" s="13" t="str">
        <f>"202403013610"</f>
        <v>202403013610</v>
      </c>
      <c r="D122" s="13" t="str">
        <f>"柯泓丞"</f>
        <v>柯泓丞</v>
      </c>
      <c r="E122" s="15">
        <v>70.66</v>
      </c>
      <c r="F122" s="16">
        <f t="shared" si="3"/>
        <v>35.33</v>
      </c>
      <c r="G122" s="20">
        <v>64.33</v>
      </c>
      <c r="H122" s="16">
        <f t="shared" si="4"/>
        <v>32.17</v>
      </c>
      <c r="I122" s="16">
        <f t="shared" si="5"/>
        <v>67.5</v>
      </c>
      <c r="J122" s="13">
        <v>2</v>
      </c>
      <c r="K122" s="13"/>
    </row>
    <row r="123" s="2" customFormat="1" ht="46" customHeight="1" spans="1:11">
      <c r="A123" s="13">
        <v>120</v>
      </c>
      <c r="B123" s="14" t="s">
        <v>46</v>
      </c>
      <c r="C123" s="13" t="str">
        <f>"202403014302"</f>
        <v>202403014302</v>
      </c>
      <c r="D123" s="13" t="str">
        <f>"陈子南"</f>
        <v>陈子南</v>
      </c>
      <c r="E123" s="15">
        <v>66.53</v>
      </c>
      <c r="F123" s="16">
        <f t="shared" si="3"/>
        <v>33.27</v>
      </c>
      <c r="G123" s="20">
        <v>0</v>
      </c>
      <c r="H123" s="16">
        <f t="shared" si="4"/>
        <v>0</v>
      </c>
      <c r="I123" s="16">
        <f t="shared" si="5"/>
        <v>33.27</v>
      </c>
      <c r="J123" s="13">
        <v>3</v>
      </c>
      <c r="K123" s="13" t="s">
        <v>47</v>
      </c>
    </row>
    <row r="124" s="2" customFormat="1" ht="46" customHeight="1" spans="1:11">
      <c r="A124" s="13">
        <v>121</v>
      </c>
      <c r="B124" s="14" t="s">
        <v>48</v>
      </c>
      <c r="C124" s="13" t="str">
        <f>"202403010703"</f>
        <v>202403010703</v>
      </c>
      <c r="D124" s="13" t="str">
        <f>"王巨林"</f>
        <v>王巨林</v>
      </c>
      <c r="E124" s="15">
        <v>75</v>
      </c>
      <c r="F124" s="16">
        <f t="shared" si="3"/>
        <v>37.5</v>
      </c>
      <c r="G124" s="20">
        <v>81.33</v>
      </c>
      <c r="H124" s="16">
        <f t="shared" si="4"/>
        <v>40.67</v>
      </c>
      <c r="I124" s="16">
        <f t="shared" si="5"/>
        <v>78.17</v>
      </c>
      <c r="J124" s="13">
        <v>1</v>
      </c>
      <c r="K124" s="13"/>
    </row>
    <row r="125" s="2" customFormat="1" ht="46" customHeight="1" spans="1:11">
      <c r="A125" s="13">
        <v>122</v>
      </c>
      <c r="B125" s="14" t="s">
        <v>48</v>
      </c>
      <c r="C125" s="13" t="str">
        <f>"202403010614"</f>
        <v>202403010614</v>
      </c>
      <c r="D125" s="13" t="str">
        <f>"陈小雪"</f>
        <v>陈小雪</v>
      </c>
      <c r="E125" s="15">
        <v>73.96</v>
      </c>
      <c r="F125" s="16">
        <f t="shared" si="3"/>
        <v>36.98</v>
      </c>
      <c r="G125" s="20">
        <v>71.5</v>
      </c>
      <c r="H125" s="16">
        <f t="shared" si="4"/>
        <v>35.75</v>
      </c>
      <c r="I125" s="16">
        <f t="shared" si="5"/>
        <v>72.73</v>
      </c>
      <c r="J125" s="13">
        <v>2</v>
      </c>
      <c r="K125" s="13"/>
    </row>
    <row r="126" s="2" customFormat="1" ht="46" customHeight="1" spans="1:11">
      <c r="A126" s="13">
        <v>123</v>
      </c>
      <c r="B126" s="14" t="s">
        <v>48</v>
      </c>
      <c r="C126" s="13" t="str">
        <f>"202403010615"</f>
        <v>202403010615</v>
      </c>
      <c r="D126" s="13" t="str">
        <f>"覃祝婉"</f>
        <v>覃祝婉</v>
      </c>
      <c r="E126" s="15">
        <v>76.13</v>
      </c>
      <c r="F126" s="16">
        <f t="shared" si="3"/>
        <v>38.07</v>
      </c>
      <c r="G126" s="20">
        <v>68.17</v>
      </c>
      <c r="H126" s="16">
        <f t="shared" si="4"/>
        <v>34.09</v>
      </c>
      <c r="I126" s="16">
        <f t="shared" si="5"/>
        <v>72.16</v>
      </c>
      <c r="J126" s="13">
        <v>3</v>
      </c>
      <c r="K126" s="13"/>
    </row>
    <row r="127" s="2" customFormat="1" ht="46" customHeight="1" spans="1:11">
      <c r="A127" s="13">
        <v>124</v>
      </c>
      <c r="B127" s="14" t="s">
        <v>49</v>
      </c>
      <c r="C127" s="13" t="str">
        <f>"202403010519"</f>
        <v>202403010519</v>
      </c>
      <c r="D127" s="13" t="str">
        <f>"陈丹"</f>
        <v>陈丹</v>
      </c>
      <c r="E127" s="15">
        <v>73.16</v>
      </c>
      <c r="F127" s="16">
        <f t="shared" si="3"/>
        <v>36.58</v>
      </c>
      <c r="G127" s="20">
        <v>78.83</v>
      </c>
      <c r="H127" s="16">
        <f t="shared" si="4"/>
        <v>39.42</v>
      </c>
      <c r="I127" s="16">
        <f t="shared" si="5"/>
        <v>76</v>
      </c>
      <c r="J127" s="13">
        <v>1</v>
      </c>
      <c r="K127" s="13"/>
    </row>
    <row r="128" s="2" customFormat="1" ht="46" customHeight="1" spans="1:11">
      <c r="A128" s="13">
        <v>125</v>
      </c>
      <c r="B128" s="14" t="s">
        <v>49</v>
      </c>
      <c r="C128" s="13" t="str">
        <f>"202403010501"</f>
        <v>202403010501</v>
      </c>
      <c r="D128" s="13" t="str">
        <f>"黎明翠"</f>
        <v>黎明翠</v>
      </c>
      <c r="E128" s="15">
        <v>74.2</v>
      </c>
      <c r="F128" s="16">
        <f t="shared" si="3"/>
        <v>37.1</v>
      </c>
      <c r="G128" s="20">
        <v>72.17</v>
      </c>
      <c r="H128" s="16">
        <f t="shared" si="4"/>
        <v>36.09</v>
      </c>
      <c r="I128" s="16">
        <f t="shared" si="5"/>
        <v>73.19</v>
      </c>
      <c r="J128" s="13">
        <v>2</v>
      </c>
      <c r="K128" s="13"/>
    </row>
    <row r="129" s="2" customFormat="1" ht="46" customHeight="1" spans="1:11">
      <c r="A129" s="13">
        <v>126</v>
      </c>
      <c r="B129" s="14" t="s">
        <v>49</v>
      </c>
      <c r="C129" s="13" t="str">
        <f>"202403010503"</f>
        <v>202403010503</v>
      </c>
      <c r="D129" s="13" t="str">
        <f>"周怡娴"</f>
        <v>周怡娴</v>
      </c>
      <c r="E129" s="15">
        <v>75.81</v>
      </c>
      <c r="F129" s="16">
        <f t="shared" si="3"/>
        <v>37.91</v>
      </c>
      <c r="G129" s="20">
        <v>67.67</v>
      </c>
      <c r="H129" s="16">
        <f t="shared" si="4"/>
        <v>33.84</v>
      </c>
      <c r="I129" s="16">
        <f t="shared" si="5"/>
        <v>71.75</v>
      </c>
      <c r="J129" s="13">
        <v>3</v>
      </c>
      <c r="K129" s="13"/>
    </row>
    <row r="130" s="2" customFormat="1" ht="46" customHeight="1" spans="1:11">
      <c r="A130" s="13">
        <v>127</v>
      </c>
      <c r="B130" s="14" t="s">
        <v>50</v>
      </c>
      <c r="C130" s="13" t="str">
        <f>"202403010930"</f>
        <v>202403010930</v>
      </c>
      <c r="D130" s="13" t="str">
        <f>"杨洋"</f>
        <v>杨洋</v>
      </c>
      <c r="E130" s="15">
        <v>73.87</v>
      </c>
      <c r="F130" s="16">
        <f t="shared" si="3"/>
        <v>36.94</v>
      </c>
      <c r="G130" s="20">
        <v>77.67</v>
      </c>
      <c r="H130" s="16">
        <f t="shared" si="4"/>
        <v>38.84</v>
      </c>
      <c r="I130" s="16">
        <f t="shared" si="5"/>
        <v>75.78</v>
      </c>
      <c r="J130" s="13">
        <v>1</v>
      </c>
      <c r="K130" s="13"/>
    </row>
    <row r="131" s="2" customFormat="1" ht="46" customHeight="1" spans="1:11">
      <c r="A131" s="13">
        <v>128</v>
      </c>
      <c r="B131" s="14" t="s">
        <v>50</v>
      </c>
      <c r="C131" s="13" t="str">
        <f>"202403011111"</f>
        <v>202403011111</v>
      </c>
      <c r="D131" s="13" t="str">
        <f>"谭邦雪"</f>
        <v>谭邦雪</v>
      </c>
      <c r="E131" s="19">
        <v>70.95</v>
      </c>
      <c r="F131" s="16">
        <f t="shared" si="3"/>
        <v>35.48</v>
      </c>
      <c r="G131" s="20">
        <v>73</v>
      </c>
      <c r="H131" s="16">
        <f t="shared" si="4"/>
        <v>36.5</v>
      </c>
      <c r="I131" s="16">
        <f t="shared" si="5"/>
        <v>71.98</v>
      </c>
      <c r="J131" s="13">
        <v>2</v>
      </c>
      <c r="K131" s="13"/>
    </row>
    <row r="132" s="2" customFormat="1" ht="46" customHeight="1" spans="1:11">
      <c r="A132" s="13">
        <v>129</v>
      </c>
      <c r="B132" s="14" t="s">
        <v>50</v>
      </c>
      <c r="C132" s="13" t="str">
        <f>"202403011108"</f>
        <v>202403011108</v>
      </c>
      <c r="D132" s="13" t="str">
        <f>"方箫"</f>
        <v>方箫</v>
      </c>
      <c r="E132" s="15">
        <v>72.29</v>
      </c>
      <c r="F132" s="16">
        <f t="shared" ref="F132:F138" si="6">E132*0.5</f>
        <v>36.15</v>
      </c>
      <c r="G132" s="20">
        <v>68.17</v>
      </c>
      <c r="H132" s="16">
        <f t="shared" ref="H132:H138" si="7">G132*0.5</f>
        <v>34.09</v>
      </c>
      <c r="I132" s="16">
        <f t="shared" ref="I132:I138" si="8">F132+H132</f>
        <v>70.24</v>
      </c>
      <c r="J132" s="13">
        <v>3</v>
      </c>
      <c r="K132" s="13"/>
    </row>
    <row r="133" s="2" customFormat="1" ht="46" customHeight="1" spans="1:11">
      <c r="A133" s="13">
        <v>130</v>
      </c>
      <c r="B133" s="14" t="s">
        <v>51</v>
      </c>
      <c r="C133" s="13" t="str">
        <f>"202403017812"</f>
        <v>202403017812</v>
      </c>
      <c r="D133" s="13" t="str">
        <f>"张林小琢"</f>
        <v>张林小琢</v>
      </c>
      <c r="E133" s="15">
        <v>80.75</v>
      </c>
      <c r="F133" s="16">
        <f t="shared" si="6"/>
        <v>40.38</v>
      </c>
      <c r="G133" s="20">
        <v>86</v>
      </c>
      <c r="H133" s="16">
        <f t="shared" si="7"/>
        <v>43</v>
      </c>
      <c r="I133" s="16">
        <f t="shared" si="8"/>
        <v>83.38</v>
      </c>
      <c r="J133" s="13">
        <v>1</v>
      </c>
      <c r="K133" s="13"/>
    </row>
    <row r="134" s="2" customFormat="1" ht="46" customHeight="1" spans="1:11">
      <c r="A134" s="13">
        <v>131</v>
      </c>
      <c r="B134" s="14" t="s">
        <v>51</v>
      </c>
      <c r="C134" s="13" t="str">
        <f>"202403017701"</f>
        <v>202403017701</v>
      </c>
      <c r="D134" s="13" t="str">
        <f>"解杨旭"</f>
        <v>解杨旭</v>
      </c>
      <c r="E134" s="15">
        <v>77.22</v>
      </c>
      <c r="F134" s="16">
        <f t="shared" si="6"/>
        <v>38.61</v>
      </c>
      <c r="G134" s="20">
        <v>74.83</v>
      </c>
      <c r="H134" s="16">
        <f t="shared" si="7"/>
        <v>37.42</v>
      </c>
      <c r="I134" s="16">
        <f t="shared" si="8"/>
        <v>76.03</v>
      </c>
      <c r="J134" s="13">
        <v>2</v>
      </c>
      <c r="K134" s="13"/>
    </row>
    <row r="135" s="2" customFormat="1" ht="46" customHeight="1" spans="1:11">
      <c r="A135" s="13">
        <v>132</v>
      </c>
      <c r="B135" s="14" t="s">
        <v>51</v>
      </c>
      <c r="C135" s="13" t="str">
        <f>"202403017914"</f>
        <v>202403017914</v>
      </c>
      <c r="D135" s="13" t="str">
        <f>"严家祥"</f>
        <v>严家祥</v>
      </c>
      <c r="E135" s="15">
        <v>77.38</v>
      </c>
      <c r="F135" s="16">
        <f t="shared" si="6"/>
        <v>38.69</v>
      </c>
      <c r="G135" s="20">
        <v>74.5</v>
      </c>
      <c r="H135" s="16">
        <f t="shared" si="7"/>
        <v>37.25</v>
      </c>
      <c r="I135" s="16">
        <f t="shared" si="8"/>
        <v>75.94</v>
      </c>
      <c r="J135" s="13">
        <v>3</v>
      </c>
      <c r="K135" s="13"/>
    </row>
    <row r="136" s="2" customFormat="1" ht="46" customHeight="1" spans="1:11">
      <c r="A136" s="13">
        <v>133</v>
      </c>
      <c r="B136" s="14" t="s">
        <v>52</v>
      </c>
      <c r="C136" s="13" t="str">
        <f>"202403011305"</f>
        <v>202403011305</v>
      </c>
      <c r="D136" s="13" t="str">
        <f>"吴彩珍"</f>
        <v>吴彩珍</v>
      </c>
      <c r="E136" s="19">
        <v>76.01</v>
      </c>
      <c r="F136" s="16">
        <f t="shared" si="6"/>
        <v>38.01</v>
      </c>
      <c r="G136" s="20">
        <v>77</v>
      </c>
      <c r="H136" s="16">
        <f t="shared" si="7"/>
        <v>38.5</v>
      </c>
      <c r="I136" s="16">
        <f t="shared" si="8"/>
        <v>76.51</v>
      </c>
      <c r="J136" s="13">
        <v>1</v>
      </c>
      <c r="K136" s="13"/>
    </row>
    <row r="137" s="2" customFormat="1" ht="46" customHeight="1" spans="1:11">
      <c r="A137" s="13">
        <v>134</v>
      </c>
      <c r="B137" s="14" t="s">
        <v>52</v>
      </c>
      <c r="C137" s="13" t="str">
        <f>"202403011413"</f>
        <v>202403011413</v>
      </c>
      <c r="D137" s="13" t="str">
        <f>"张芸"</f>
        <v>张芸</v>
      </c>
      <c r="E137" s="15">
        <v>76.19</v>
      </c>
      <c r="F137" s="16">
        <f t="shared" si="6"/>
        <v>38.1</v>
      </c>
      <c r="G137" s="20">
        <v>76.67</v>
      </c>
      <c r="H137" s="16">
        <f t="shared" si="7"/>
        <v>38.34</v>
      </c>
      <c r="I137" s="16">
        <f t="shared" si="8"/>
        <v>76.44</v>
      </c>
      <c r="J137" s="13">
        <v>2</v>
      </c>
      <c r="K137" s="13"/>
    </row>
    <row r="138" s="2" customFormat="1" ht="46" customHeight="1" spans="1:11">
      <c r="A138" s="13">
        <v>135</v>
      </c>
      <c r="B138" s="14" t="s">
        <v>52</v>
      </c>
      <c r="C138" s="13" t="str">
        <f>"202403011416"</f>
        <v>202403011416</v>
      </c>
      <c r="D138" s="13" t="str">
        <f>"杨柳"</f>
        <v>杨柳</v>
      </c>
      <c r="E138" s="19">
        <v>74.78</v>
      </c>
      <c r="F138" s="16">
        <f t="shared" si="6"/>
        <v>37.39</v>
      </c>
      <c r="G138" s="20">
        <v>76.17</v>
      </c>
      <c r="H138" s="16">
        <f t="shared" si="7"/>
        <v>38.09</v>
      </c>
      <c r="I138" s="16">
        <f t="shared" si="8"/>
        <v>75.48</v>
      </c>
      <c r="J138" s="13">
        <v>3</v>
      </c>
      <c r="K138" s="13"/>
    </row>
  </sheetData>
  <mergeCells count="2">
    <mergeCell ref="A1:K1"/>
    <mergeCell ref="A2:K2"/>
  </mergeCells>
  <printOptions horizontalCentered="1"/>
  <pageMargins left="0.0784722222222222" right="0.196527777777778" top="0.0388888888888889" bottom="0.0784722222222222" header="0.236111111111111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2024-04-23T03:48:25Z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AB61CB097D97494D852C055FB73A0F37</vt:lpwstr>
  </property>
  <property fmtid="{D5CDD505-2E9C-101B-9397-08002B2CF9AE}" pid="3" name="KSOProductBuildVer">
    <vt:lpwstr>2052-11.8.2.8411</vt:lpwstr>
  </property>
</Properties>
</file>