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成绩" sheetId="1" r:id="rId1"/>
    <sheet name="体检入围" sheetId="3" r:id="rId2"/>
  </sheets>
  <externalReferences>
    <externalReference r:id="rId3"/>
  </externalReferences>
  <definedNames>
    <definedName name="_xlnm._FilterDatabase" localSheetId="0" hidden="1">总成绩!$A$3:$G$11</definedName>
    <definedName name="_xlnm._FilterDatabase" localSheetId="1" hidden="1">体检入围!$A$2:$Q$68</definedName>
    <definedName name="_xlnm.Print_Titles" localSheetId="1">体检入围!$2:$2</definedName>
    <definedName name="_xlnm.Print_Titles" localSheetId="0">总成绩!$3:$3</definedName>
  </definedNames>
  <calcPr calcId="144525"/>
</workbook>
</file>

<file path=xl/sharedStrings.xml><?xml version="1.0" encoding="utf-8"?>
<sst xmlns="http://schemas.openxmlformats.org/spreadsheetml/2006/main" count="179" uniqueCount="62">
  <si>
    <t>附件</t>
  </si>
  <si>
    <t>2024年新野县校园招聘医务人员考试总成绩</t>
  </si>
  <si>
    <t>姓名</t>
  </si>
  <si>
    <t>岗位代码</t>
  </si>
  <si>
    <t>岗位名称</t>
  </si>
  <si>
    <t>面试序号</t>
  </si>
  <si>
    <t>面试成绩</t>
  </si>
  <si>
    <t>总成绩</t>
  </si>
  <si>
    <t>备注</t>
  </si>
  <si>
    <t>郭伊蒙</t>
  </si>
  <si>
    <t>中医学类</t>
  </si>
  <si>
    <t>高明玉</t>
  </si>
  <si>
    <t>柯海存</t>
  </si>
  <si>
    <t>史恒通</t>
  </si>
  <si>
    <t>周丛慧</t>
  </si>
  <si>
    <t>马銘茵</t>
  </si>
  <si>
    <t>龚麒扬</t>
  </si>
  <si>
    <t>王拓</t>
  </si>
  <si>
    <t>2022年新野县校园招聘医务人员考试总成绩</t>
  </si>
  <si>
    <t>准考证号</t>
  </si>
  <si>
    <t xml:space="preserve">笔试成绩 </t>
  </si>
  <si>
    <t>性别</t>
  </si>
  <si>
    <t>出生年月</t>
  </si>
  <si>
    <t>籍贯</t>
  </si>
  <si>
    <t>毕业时间</t>
  </si>
  <si>
    <t>毕业院校</t>
  </si>
  <si>
    <t>学历</t>
  </si>
  <si>
    <t>专业</t>
  </si>
  <si>
    <t>电话</t>
  </si>
  <si>
    <t>中西医结合</t>
  </si>
  <si>
    <t>急需紧缺岗位</t>
  </si>
  <si>
    <t>缺考</t>
  </si>
  <si>
    <t>护理学</t>
  </si>
  <si>
    <t>20220723020</t>
  </si>
  <si>
    <t>医学影像</t>
  </si>
  <si>
    <t>20220723006</t>
  </si>
  <si>
    <t>20220723007</t>
  </si>
  <si>
    <t>20220723024</t>
  </si>
  <si>
    <t>20220723008</t>
  </si>
  <si>
    <t>20220723012</t>
  </si>
  <si>
    <t>20220723016</t>
  </si>
  <si>
    <t>20220723021</t>
  </si>
  <si>
    <t>20220723004</t>
  </si>
  <si>
    <t>20220723014</t>
  </si>
  <si>
    <t>20220723022</t>
  </si>
  <si>
    <t>20220723017</t>
  </si>
  <si>
    <t>20220723011</t>
  </si>
  <si>
    <t>20220723005</t>
  </si>
  <si>
    <t>20220723025</t>
  </si>
  <si>
    <t>20220723027</t>
  </si>
  <si>
    <t>医学检验</t>
  </si>
  <si>
    <t>20220723010</t>
  </si>
  <si>
    <t>20220723001</t>
  </si>
  <si>
    <t>20220723015</t>
  </si>
  <si>
    <t>20220723026</t>
  </si>
  <si>
    <t>20220723002</t>
  </si>
  <si>
    <t>20220723009</t>
  </si>
  <si>
    <t>20220723019</t>
  </si>
  <si>
    <t>20220723013</t>
  </si>
  <si>
    <t>临床医学</t>
  </si>
  <si>
    <t>康复医学</t>
  </si>
  <si>
    <t>中医学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</si>
</sst>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"/>
    <numFmt numFmtId="177" formatCode="0.00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0844;&#24320;&#25307;&#32856;\&#29702;&#24037;&#26657;&#22253;&#25307;&#32856;&#21307;&#25252;&#20154;&#21592;20220722\2022&#24180;&#26032;&#37326;&#21439;&#20851;&#20110;&#38754;&#21521;&#31038;&#20250;&#20844;&#24320;&#25307;&#32856;&#21307;&#21153;&#20154;&#21592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007_62da4dd66d917"/>
      <sheetName val="2022年医务人员现场确认名单"/>
      <sheetName val="体检入围人员"/>
      <sheetName val="导出计数_岗位代码"/>
    </sheetNames>
    <sheetDataSet>
      <sheetData sheetId="0" refreshError="1"/>
      <sheetData sheetId="1" refreshError="1"/>
      <sheetData sheetId="2">
        <row r="1">
          <cell r="D1" t="str">
            <v>姓名</v>
          </cell>
          <cell r="E1" t="str">
            <v>性别</v>
          </cell>
          <cell r="F1" t="str">
            <v>出生年月</v>
          </cell>
          <cell r="G1" t="str">
            <v>身份证号码</v>
          </cell>
          <cell r="H1" t="str">
            <v>民族</v>
          </cell>
          <cell r="I1" t="str">
            <v>籍贯</v>
          </cell>
          <cell r="J1" t="str">
            <v>县（区）</v>
          </cell>
          <cell r="K1" t="str">
            <v>乡（镇、街道）</v>
          </cell>
          <cell r="L1" t="str">
            <v>政治面貌</v>
          </cell>
          <cell r="M1" t="str">
            <v>住址</v>
          </cell>
          <cell r="N1" t="str">
            <v>毕业时间</v>
          </cell>
          <cell r="O1" t="str">
            <v>毕业院校</v>
          </cell>
          <cell r="P1" t="str">
            <v>学历</v>
          </cell>
          <cell r="Q1" t="str">
            <v>专业</v>
          </cell>
          <cell r="R1" t="str">
            <v>学信网在线验证码</v>
          </cell>
          <cell r="S1" t="str">
            <v>执业资格情况</v>
          </cell>
          <cell r="T1" t="str">
            <v>编号</v>
          </cell>
          <cell r="U1" t="str">
            <v>是否笔试加分</v>
          </cell>
          <cell r="V1" t="str">
            <v>加分项目</v>
          </cell>
          <cell r="W1" t="str">
            <v>现工作单位及职务</v>
          </cell>
          <cell r="X1" t="str">
            <v>联系电话1</v>
          </cell>
        </row>
        <row r="2">
          <cell r="D2" t="str">
            <v>范宣伊</v>
          </cell>
          <cell r="E2" t="str">
            <v>男</v>
          </cell>
          <cell r="F2" t="str">
            <v>1997-08-20</v>
          </cell>
          <cell r="G2" t="str">
            <v>411328199708202777</v>
          </cell>
          <cell r="H2" t="str">
            <v>汉族</v>
          </cell>
          <cell r="I2" t="str">
            <v>河南省</v>
          </cell>
          <cell r="J2" t="str">
            <v>新野县</v>
          </cell>
          <cell r="K2" t="str">
            <v>王集镇范坡村范坡</v>
          </cell>
          <cell r="L2" t="str">
            <v>群众</v>
          </cell>
          <cell r="M2" t="str">
            <v>河南省南阳市新野县王集镇范坡村范坡</v>
          </cell>
          <cell r="N2" t="str">
            <v>2022.7</v>
          </cell>
          <cell r="O2" t="str">
            <v>新乡医学院三全学院</v>
          </cell>
          <cell r="P2" t="str">
            <v>本科</v>
          </cell>
          <cell r="Q2" t="str">
            <v>临床医学</v>
          </cell>
          <cell r="R2" t="str">
            <v>A9UERDYZ9S13ZN9K</v>
          </cell>
          <cell r="S2" t="str">
            <v>无</v>
          </cell>
          <cell r="T2" t="str">
            <v>无</v>
          </cell>
          <cell r="U2" t="str">
            <v>否</v>
          </cell>
          <cell r="V2" t="str">
            <v>无</v>
          </cell>
          <cell r="W2" t="str">
            <v>无</v>
          </cell>
          <cell r="X2" t="str">
            <v>17613811918</v>
          </cell>
        </row>
        <row r="3">
          <cell r="D3" t="str">
            <v>李济同</v>
          </cell>
          <cell r="E3" t="str">
            <v>男</v>
          </cell>
          <cell r="F3" t="str">
            <v>1996-11-28</v>
          </cell>
          <cell r="G3" t="str">
            <v>411328199611280015</v>
          </cell>
          <cell r="H3" t="str">
            <v>汉族</v>
          </cell>
          <cell r="I3" t="str">
            <v>河南省</v>
          </cell>
          <cell r="J3" t="str">
            <v>新野县</v>
          </cell>
          <cell r="K3" t="str">
            <v>汉华街道</v>
          </cell>
          <cell r="L3" t="str">
            <v>群众</v>
          </cell>
          <cell r="M3" t="str">
            <v>一品国际花园小区</v>
          </cell>
          <cell r="N3" t="str">
            <v>2021.06</v>
          </cell>
          <cell r="O3" t="str">
            <v>新乡医学院三全学院</v>
          </cell>
          <cell r="P3" t="str">
            <v>本科</v>
          </cell>
          <cell r="Q3" t="str">
            <v>临床医学</v>
          </cell>
          <cell r="R3" t="str">
            <v>AN4V0LW0Q4TB5NBY</v>
          </cell>
          <cell r="S3" t="str">
            <v>无</v>
          </cell>
          <cell r="T3" t="str">
            <v>无</v>
          </cell>
          <cell r="U3" t="str">
            <v>否</v>
          </cell>
          <cell r="V3" t="str">
            <v>无</v>
          </cell>
          <cell r="W3" t="str">
            <v>县医院</v>
          </cell>
          <cell r="X3" t="str">
            <v>17638993284</v>
          </cell>
        </row>
        <row r="4">
          <cell r="D4" t="str">
            <v>鲁峥峰</v>
          </cell>
          <cell r="E4" t="str">
            <v>男</v>
          </cell>
          <cell r="F4" t="str">
            <v>1997-02-28</v>
          </cell>
          <cell r="G4" t="str">
            <v>411328199702280010</v>
          </cell>
          <cell r="H4" t="str">
            <v>汉族</v>
          </cell>
          <cell r="I4" t="str">
            <v>河南省</v>
          </cell>
          <cell r="J4" t="str">
            <v>新野县</v>
          </cell>
          <cell r="K4" t="str">
            <v>汉华街道</v>
          </cell>
          <cell r="L4" t="str">
            <v>共青团员</v>
          </cell>
          <cell r="M4" t="str">
            <v>河南省新野县大桥路与中兴路交叉口三泉水厂</v>
          </cell>
          <cell r="N4" t="str">
            <v>2022.07</v>
          </cell>
          <cell r="O4" t="str">
            <v>新乡医学院三全学院</v>
          </cell>
          <cell r="P4" t="str">
            <v>本科</v>
          </cell>
          <cell r="Q4" t="str">
            <v>临床医学</v>
          </cell>
          <cell r="R4" t="str">
            <v>AN2BQ24KVUWR2RD4</v>
          </cell>
          <cell r="S4" t="str">
            <v>无</v>
          </cell>
          <cell r="T4" t="str">
            <v>无</v>
          </cell>
          <cell r="U4" t="str">
            <v>否</v>
          </cell>
          <cell r="V4" t="str">
            <v>无</v>
          </cell>
          <cell r="W4" t="str">
            <v>无</v>
          </cell>
          <cell r="X4" t="str">
            <v>15737373226</v>
          </cell>
        </row>
        <row r="5">
          <cell r="D5" t="str">
            <v>黄松鹤</v>
          </cell>
          <cell r="E5" t="str">
            <v>男</v>
          </cell>
          <cell r="F5" t="str">
            <v>1992-07-20</v>
          </cell>
          <cell r="G5" t="str">
            <v>411324199207205253</v>
          </cell>
          <cell r="H5" t="str">
            <v>汉族</v>
          </cell>
          <cell r="I5" t="str">
            <v>河南省</v>
          </cell>
          <cell r="J5" t="str">
            <v>镇平县</v>
          </cell>
          <cell r="K5" t="str">
            <v>府前街</v>
          </cell>
          <cell r="L5" t="str">
            <v>群众</v>
          </cell>
          <cell r="M5" t="str">
            <v>镇平县城关镇府前街23-149号</v>
          </cell>
          <cell r="N5" t="str">
            <v>2017.07</v>
          </cell>
          <cell r="O5" t="str">
            <v>新乡医学院三全学院</v>
          </cell>
          <cell r="P5" t="str">
            <v>本科</v>
          </cell>
          <cell r="Q5" t="str">
            <v>临床医学（专升本）</v>
          </cell>
          <cell r="R5" t="str">
            <v>371493809997</v>
          </cell>
          <cell r="S5" t="str">
            <v>已通过</v>
          </cell>
          <cell r="T5" t="str">
            <v>202041110411324199207205253</v>
          </cell>
          <cell r="U5" t="str">
            <v>否</v>
          </cell>
          <cell r="V5" t="str">
            <v>无</v>
          </cell>
          <cell r="W5" t="str">
            <v>无</v>
          </cell>
          <cell r="X5" t="str">
            <v>18567268883</v>
          </cell>
        </row>
        <row r="6">
          <cell r="D6" t="str">
            <v>王晓</v>
          </cell>
          <cell r="E6" t="str">
            <v>女</v>
          </cell>
          <cell r="F6" t="str">
            <v>1998-12-01</v>
          </cell>
          <cell r="G6" t="str">
            <v>41132819981201504X</v>
          </cell>
          <cell r="H6" t="str">
            <v>汉族</v>
          </cell>
          <cell r="I6" t="str">
            <v>河南省</v>
          </cell>
          <cell r="J6" t="str">
            <v>新野县</v>
          </cell>
          <cell r="K6" t="str">
            <v>上港乡</v>
          </cell>
          <cell r="L6" t="str">
            <v>共青团员</v>
          </cell>
          <cell r="M6" t="str">
            <v>河南省新野县上港乡宅子村</v>
          </cell>
          <cell r="N6" t="str">
            <v>2021.06</v>
          </cell>
          <cell r="O6" t="str">
            <v>新乡医学院</v>
          </cell>
          <cell r="P6" t="str">
            <v>本科</v>
          </cell>
          <cell r="Q6" t="str">
            <v>麻醉学</v>
          </cell>
          <cell r="R6" t="str">
            <v>AKDNS873E1WPXRSD</v>
          </cell>
          <cell r="S6" t="str">
            <v>无</v>
          </cell>
          <cell r="T6" t="str">
            <v>无</v>
          </cell>
          <cell r="U6" t="str">
            <v>否</v>
          </cell>
          <cell r="V6" t="str">
            <v>无</v>
          </cell>
          <cell r="W6" t="str">
            <v>无</v>
          </cell>
          <cell r="X6" t="str">
            <v>15090313297</v>
          </cell>
        </row>
        <row r="7">
          <cell r="D7" t="str">
            <v>陈浩</v>
          </cell>
          <cell r="E7" t="str">
            <v>男</v>
          </cell>
          <cell r="F7" t="str">
            <v>1994-11-16</v>
          </cell>
          <cell r="G7" t="str">
            <v>41132919941116071X</v>
          </cell>
          <cell r="H7" t="str">
            <v>汉族</v>
          </cell>
          <cell r="I7" t="str">
            <v>河南</v>
          </cell>
          <cell r="J7" t="str">
            <v>新野</v>
          </cell>
          <cell r="K7" t="str">
            <v>城郊乡</v>
          </cell>
          <cell r="L7" t="str">
            <v>共青团员</v>
          </cell>
          <cell r="M7" t="str">
            <v>河南省南阳市新野县文化广场</v>
          </cell>
          <cell r="N7" t="str">
            <v>2021.07</v>
          </cell>
          <cell r="O7" t="str">
            <v>新乡医学院三全学院</v>
          </cell>
          <cell r="P7" t="str">
            <v>本科</v>
          </cell>
          <cell r="Q7" t="str">
            <v>临床医学</v>
          </cell>
          <cell r="R7" t="str">
            <v>ASBEAM2F0EW8CSNU</v>
          </cell>
          <cell r="S7" t="str">
            <v>无</v>
          </cell>
          <cell r="T7" t="str">
            <v>无</v>
          </cell>
          <cell r="U7" t="str">
            <v>否</v>
          </cell>
          <cell r="V7" t="str">
            <v>无</v>
          </cell>
          <cell r="W7" t="str">
            <v>无</v>
          </cell>
          <cell r="X7" t="str">
            <v>18638973533</v>
          </cell>
        </row>
        <row r="8">
          <cell r="D8" t="str">
            <v>汪哲</v>
          </cell>
          <cell r="E8" t="str">
            <v>女</v>
          </cell>
          <cell r="F8" t="str">
            <v>2000-02-01</v>
          </cell>
          <cell r="G8" t="str">
            <v>411328200002016169</v>
          </cell>
          <cell r="H8" t="str">
            <v>汉族</v>
          </cell>
          <cell r="I8" t="str">
            <v>河南省</v>
          </cell>
          <cell r="J8" t="str">
            <v>新野县</v>
          </cell>
          <cell r="K8" t="str">
            <v>五星镇</v>
          </cell>
          <cell r="L8" t="str">
            <v>共青团员</v>
          </cell>
          <cell r="M8" t="str">
            <v>河南省南阳市新野县五星镇台庄村7组</v>
          </cell>
          <cell r="N8" t="str">
            <v>2022.07</v>
          </cell>
          <cell r="O8" t="str">
            <v>黄河科技学院</v>
          </cell>
          <cell r="P8" t="str">
            <v>本科</v>
          </cell>
          <cell r="Q8" t="str">
            <v>临床医学</v>
          </cell>
          <cell r="R8" t="str">
            <v>ASYR0XN7RNA99EYQ</v>
          </cell>
          <cell r="S8" t="str">
            <v>无</v>
          </cell>
          <cell r="T8" t="str">
            <v>无</v>
          </cell>
          <cell r="U8" t="str">
            <v>否</v>
          </cell>
          <cell r="V8" t="str">
            <v>无</v>
          </cell>
          <cell r="W8" t="str">
            <v>无</v>
          </cell>
          <cell r="X8" t="str">
            <v>15093079162</v>
          </cell>
        </row>
        <row r="9">
          <cell r="D9" t="str">
            <v>梁剑英</v>
          </cell>
          <cell r="E9" t="str">
            <v>男</v>
          </cell>
          <cell r="F9" t="str">
            <v>1997-06-03</v>
          </cell>
          <cell r="G9" t="str">
            <v>41132919970603223X</v>
          </cell>
          <cell r="H9" t="str">
            <v>汉族</v>
          </cell>
          <cell r="I9" t="str">
            <v>河南省</v>
          </cell>
          <cell r="J9" t="str">
            <v>新野县</v>
          </cell>
          <cell r="K9" t="str">
            <v>上庄乡</v>
          </cell>
          <cell r="L9" t="str">
            <v>共青团员</v>
          </cell>
          <cell r="M9" t="str">
            <v>河南省南阳市新野县上庄乡邓庄村南寨11组</v>
          </cell>
          <cell r="N9" t="str">
            <v>2021.07</v>
          </cell>
          <cell r="O9" t="str">
            <v>黄河科技学院</v>
          </cell>
          <cell r="P9" t="str">
            <v>本科</v>
          </cell>
          <cell r="Q9" t="str">
            <v>临床医学</v>
          </cell>
          <cell r="R9" t="str">
            <v>AH0421MGFZECVJ21</v>
          </cell>
          <cell r="S9" t="str">
            <v>无</v>
          </cell>
          <cell r="T9" t="str">
            <v>无</v>
          </cell>
          <cell r="U9" t="str">
            <v>否</v>
          </cell>
          <cell r="V9" t="str">
            <v>无</v>
          </cell>
          <cell r="W9" t="str">
            <v>县医院</v>
          </cell>
          <cell r="X9" t="str">
            <v>18739002813</v>
          </cell>
        </row>
        <row r="10">
          <cell r="D10" t="str">
            <v>万中雨</v>
          </cell>
          <cell r="E10" t="str">
            <v>女</v>
          </cell>
          <cell r="F10" t="str">
            <v>1999-02-20</v>
          </cell>
          <cell r="G10" t="str">
            <v>41130219990220182X</v>
          </cell>
          <cell r="H10" t="str">
            <v>汉族</v>
          </cell>
          <cell r="I10" t="str">
            <v>河南省南阳市</v>
          </cell>
          <cell r="J10" t="str">
            <v>城乡一体化示范区</v>
          </cell>
          <cell r="K10" t="str">
            <v>枣林街道</v>
          </cell>
          <cell r="L10" t="str">
            <v>共青团员</v>
          </cell>
          <cell r="M10" t="str">
            <v>河南省南阳市宛城区白河镇常庄村七组</v>
          </cell>
          <cell r="N10" t="str">
            <v>2022.06</v>
          </cell>
          <cell r="O10" t="str">
            <v>新乡医学院三全学院</v>
          </cell>
          <cell r="P10" t="str">
            <v>本科</v>
          </cell>
          <cell r="Q10" t="str">
            <v>临床医学</v>
          </cell>
          <cell r="R10" t="str">
            <v>A2SEBTTZQH0UP41A</v>
          </cell>
          <cell r="S10" t="str">
            <v>无</v>
          </cell>
          <cell r="T10" t="str">
            <v>无</v>
          </cell>
          <cell r="U10" t="str">
            <v>否</v>
          </cell>
          <cell r="V10" t="str">
            <v>无</v>
          </cell>
          <cell r="W10" t="str">
            <v>无</v>
          </cell>
          <cell r="X10" t="str">
            <v>16637711168</v>
          </cell>
        </row>
        <row r="11">
          <cell r="D11" t="str">
            <v>罗娇</v>
          </cell>
          <cell r="E11" t="str">
            <v>女</v>
          </cell>
          <cell r="F11" t="str">
            <v>1998-06-28</v>
          </cell>
          <cell r="G11" t="str">
            <v>411328199806286169</v>
          </cell>
          <cell r="H11" t="str">
            <v>汉族</v>
          </cell>
          <cell r="I11" t="str">
            <v>河南省</v>
          </cell>
          <cell r="J11" t="str">
            <v>新野县</v>
          </cell>
          <cell r="K11" t="str">
            <v>城郊</v>
          </cell>
          <cell r="L11" t="str">
            <v>共青团员</v>
          </cell>
          <cell r="M11" t="str">
            <v>河南省南阳市新野县五星镇郭湖村</v>
          </cell>
          <cell r="N11" t="str">
            <v>2021.07</v>
          </cell>
          <cell r="O11" t="str">
            <v>新乡医学院三全学院</v>
          </cell>
          <cell r="P11" t="str">
            <v>本科</v>
          </cell>
          <cell r="Q11" t="str">
            <v>临床医学</v>
          </cell>
          <cell r="R11" t="str">
            <v>A5GUDRXB997HKZC8</v>
          </cell>
          <cell r="S11" t="str">
            <v>无</v>
          </cell>
          <cell r="T11" t="str">
            <v>无</v>
          </cell>
          <cell r="U11" t="str">
            <v>否</v>
          </cell>
          <cell r="V11" t="str">
            <v>无</v>
          </cell>
          <cell r="W11" t="str">
            <v>无</v>
          </cell>
          <cell r="X11" t="str">
            <v>18637722780</v>
          </cell>
        </row>
        <row r="12">
          <cell r="D12" t="str">
            <v>邹行</v>
          </cell>
          <cell r="E12" t="str">
            <v>男</v>
          </cell>
          <cell r="F12" t="str">
            <v>1998-03-16</v>
          </cell>
          <cell r="G12" t="str">
            <v>41132819980316131X</v>
          </cell>
          <cell r="H12" t="str">
            <v>汉族</v>
          </cell>
          <cell r="I12" t="str">
            <v>河南省</v>
          </cell>
          <cell r="J12" t="str">
            <v>新野县</v>
          </cell>
          <cell r="K12" t="str">
            <v>汉华街道</v>
          </cell>
          <cell r="L12" t="str">
            <v>共青团员</v>
          </cell>
          <cell r="M12" t="str">
            <v>河南省南阳市新野县汉华街道办事处书院路60号</v>
          </cell>
          <cell r="N12" t="str">
            <v>2021.07</v>
          </cell>
          <cell r="O12" t="str">
            <v>新乡医学院三全学院</v>
          </cell>
          <cell r="P12" t="str">
            <v>本科</v>
          </cell>
          <cell r="Q12" t="str">
            <v>临床医学</v>
          </cell>
          <cell r="R12" t="str">
            <v>AYNHR9F5R5K956FB</v>
          </cell>
          <cell r="S12" t="str">
            <v>无</v>
          </cell>
          <cell r="T12" t="str">
            <v>无</v>
          </cell>
          <cell r="U12" t="str">
            <v>否</v>
          </cell>
          <cell r="V12" t="str">
            <v>无</v>
          </cell>
          <cell r="W12" t="str">
            <v>无</v>
          </cell>
          <cell r="X12" t="str">
            <v>15239189175</v>
          </cell>
        </row>
        <row r="13">
          <cell r="D13" t="str">
            <v>赵馥</v>
          </cell>
          <cell r="E13" t="str">
            <v>女</v>
          </cell>
          <cell r="F13" t="str">
            <v>1997-07-01</v>
          </cell>
          <cell r="G13" t="str">
            <v>411328199707010028</v>
          </cell>
          <cell r="H13" t="str">
            <v>汉族</v>
          </cell>
          <cell r="I13" t="str">
            <v>河南省</v>
          </cell>
          <cell r="J13" t="str">
            <v>新野县</v>
          </cell>
          <cell r="K13" t="str">
            <v>汉城街道</v>
          </cell>
          <cell r="L13" t="str">
            <v>共青团员</v>
          </cell>
          <cell r="M13" t="str">
            <v>河南省南阳市新野县小阁口南</v>
          </cell>
          <cell r="N13" t="str">
            <v>2020.07</v>
          </cell>
          <cell r="O13" t="str">
            <v>黄河科技学院</v>
          </cell>
          <cell r="P13" t="str">
            <v>本科</v>
          </cell>
          <cell r="Q13" t="str">
            <v>临床医学</v>
          </cell>
          <cell r="R13" t="str">
            <v>AWHM8QMP8Z1G9M02</v>
          </cell>
          <cell r="S13" t="str">
            <v>无</v>
          </cell>
          <cell r="T13" t="str">
            <v>无</v>
          </cell>
          <cell r="U13" t="str">
            <v>否</v>
          </cell>
          <cell r="V13" t="str">
            <v>无</v>
          </cell>
          <cell r="W13" t="str">
            <v>无</v>
          </cell>
          <cell r="X13" t="str">
            <v>15238318536</v>
          </cell>
        </row>
        <row r="14">
          <cell r="D14" t="str">
            <v>魏挺</v>
          </cell>
          <cell r="E14" t="str">
            <v>男</v>
          </cell>
          <cell r="F14" t="str">
            <v>1998-03-08</v>
          </cell>
          <cell r="G14" t="str">
            <v>420683199803080511</v>
          </cell>
          <cell r="H14" t="str">
            <v>汉族</v>
          </cell>
          <cell r="I14" t="str">
            <v>湖北省</v>
          </cell>
          <cell r="J14" t="str">
            <v>枣阳市</v>
          </cell>
          <cell r="K14" t="str">
            <v>环城八里七组</v>
          </cell>
          <cell r="L14" t="str">
            <v>共青团员</v>
          </cell>
          <cell r="M14" t="str">
            <v>湖北省枣阳市环城八里七组</v>
          </cell>
          <cell r="N14" t="str">
            <v>2022.07</v>
          </cell>
          <cell r="O14" t="str">
            <v>新乡医学院三全学院</v>
          </cell>
          <cell r="P14" t="str">
            <v>本科</v>
          </cell>
          <cell r="Q14" t="str">
            <v>临床医学</v>
          </cell>
          <cell r="R14" t="str">
            <v>AJRQBQ3J5YSDWAD2</v>
          </cell>
          <cell r="S14" t="str">
            <v>无</v>
          </cell>
          <cell r="T14" t="str">
            <v>无</v>
          </cell>
          <cell r="U14" t="str">
            <v>否</v>
          </cell>
          <cell r="V14" t="str">
            <v>无</v>
          </cell>
          <cell r="W14" t="str">
            <v>无</v>
          </cell>
          <cell r="X14" t="str">
            <v>19871214568</v>
          </cell>
        </row>
        <row r="15">
          <cell r="D15" t="str">
            <v>吕祖鑫</v>
          </cell>
          <cell r="E15" t="str">
            <v>男</v>
          </cell>
          <cell r="F15" t="str">
            <v>1998-03-18</v>
          </cell>
          <cell r="G15" t="str">
            <v>41130219980318573X</v>
          </cell>
          <cell r="H15" t="str">
            <v>汉族</v>
          </cell>
          <cell r="I15" t="str">
            <v>河南省</v>
          </cell>
          <cell r="J15" t="str">
            <v>宛城区</v>
          </cell>
          <cell r="K15" t="str">
            <v>新店乡</v>
          </cell>
          <cell r="L15" t="str">
            <v>共青团员</v>
          </cell>
          <cell r="M15" t="str">
            <v>河南省南阳市宛城区新店乡大吕庄</v>
          </cell>
          <cell r="N15" t="str">
            <v>2022.07</v>
          </cell>
          <cell r="O15" t="str">
            <v>河南中医药大学</v>
          </cell>
          <cell r="P15" t="str">
            <v>本科</v>
          </cell>
          <cell r="Q15" t="str">
            <v>中西医临床医学</v>
          </cell>
          <cell r="R15" t="str">
            <v>AB2B04M1BTRFZF89</v>
          </cell>
          <cell r="S15" t="str">
            <v>无</v>
          </cell>
          <cell r="T15" t="str">
            <v>无</v>
          </cell>
          <cell r="U15" t="str">
            <v>否</v>
          </cell>
          <cell r="V15" t="str">
            <v>无</v>
          </cell>
          <cell r="W15" t="str">
            <v>无</v>
          </cell>
          <cell r="X15" t="str">
            <v>18317249965</v>
          </cell>
        </row>
        <row r="16">
          <cell r="D16" t="str">
            <v>齐冬雨</v>
          </cell>
          <cell r="E16" t="str">
            <v>女</v>
          </cell>
          <cell r="F16" t="str">
            <v>1998-12-29</v>
          </cell>
          <cell r="G16" t="str">
            <v>411328199812290041</v>
          </cell>
          <cell r="H16" t="str">
            <v>回族</v>
          </cell>
          <cell r="I16" t="str">
            <v>河南省</v>
          </cell>
          <cell r="J16" t="str">
            <v>新野</v>
          </cell>
          <cell r="K16" t="str">
            <v>汉华街道办事处</v>
          </cell>
          <cell r="L16" t="str">
            <v>共青团员</v>
          </cell>
          <cell r="M16" t="str">
            <v>新野县老户庄口金隆花园</v>
          </cell>
          <cell r="N16" t="str">
            <v>2021.07</v>
          </cell>
          <cell r="O16" t="str">
            <v>河南中医药大学</v>
          </cell>
          <cell r="P16" t="str">
            <v>本科</v>
          </cell>
          <cell r="Q16" t="str">
            <v>中西医临床医学</v>
          </cell>
          <cell r="R16" t="str">
            <v>AR6VBNPLWMLS0BGX</v>
          </cell>
          <cell r="S16" t="str">
            <v>无</v>
          </cell>
          <cell r="T16" t="str">
            <v>无</v>
          </cell>
          <cell r="U16" t="str">
            <v>否</v>
          </cell>
          <cell r="V16" t="str">
            <v>无</v>
          </cell>
          <cell r="W16" t="str">
            <v>无</v>
          </cell>
          <cell r="X16" t="str">
            <v>15649859026</v>
          </cell>
        </row>
        <row r="17">
          <cell r="D17" t="str">
            <v>栗悦</v>
          </cell>
          <cell r="E17" t="str">
            <v>女</v>
          </cell>
          <cell r="F17" t="str">
            <v>1995-08-29</v>
          </cell>
          <cell r="G17" t="str">
            <v>411328199508290020</v>
          </cell>
          <cell r="H17" t="str">
            <v>汉族</v>
          </cell>
          <cell r="I17" t="str">
            <v>河南省</v>
          </cell>
          <cell r="J17" t="str">
            <v>新野县</v>
          </cell>
          <cell r="K17" t="str">
            <v>城关镇</v>
          </cell>
          <cell r="L17" t="str">
            <v>中共党员</v>
          </cell>
          <cell r="M17" t="str">
            <v>新野县滨湖小区</v>
          </cell>
          <cell r="N17" t="str">
            <v>2020.07</v>
          </cell>
          <cell r="O17" t="str">
            <v>广西中医药大学赛恩斯新医药学院</v>
          </cell>
          <cell r="P17" t="str">
            <v>本科</v>
          </cell>
          <cell r="Q17" t="str">
            <v>中医学</v>
          </cell>
          <cell r="R17" t="str">
            <v>A6YMK12QZ6G4PY3Y</v>
          </cell>
          <cell r="S17" t="str">
            <v>无</v>
          </cell>
          <cell r="T17" t="str">
            <v>无</v>
          </cell>
          <cell r="U17" t="str">
            <v>否</v>
          </cell>
          <cell r="V17" t="str">
            <v>无</v>
          </cell>
          <cell r="W17" t="str">
            <v>无</v>
          </cell>
          <cell r="X17" t="str">
            <v>13087999387</v>
          </cell>
        </row>
        <row r="18">
          <cell r="D18" t="str">
            <v>杨爽</v>
          </cell>
          <cell r="E18" t="str">
            <v>女</v>
          </cell>
          <cell r="F18" t="str">
            <v>1997-12-16</v>
          </cell>
          <cell r="G18" t="str">
            <v>411328199712160661</v>
          </cell>
          <cell r="H18" t="str">
            <v>汉族</v>
          </cell>
          <cell r="I18" t="str">
            <v>河南</v>
          </cell>
          <cell r="J18" t="str">
            <v>新野</v>
          </cell>
          <cell r="K18" t="str">
            <v>汉城街道</v>
          </cell>
          <cell r="L18" t="str">
            <v>共青团员</v>
          </cell>
          <cell r="M18" t="str">
            <v>书院路卫校东</v>
          </cell>
          <cell r="N18" t="str">
            <v>2020.07</v>
          </cell>
          <cell r="O18" t="str">
            <v>河南中医药大学</v>
          </cell>
          <cell r="P18" t="str">
            <v>本科</v>
          </cell>
          <cell r="Q18" t="str">
            <v>中西医临床医学</v>
          </cell>
          <cell r="R18" t="str">
            <v>AX4DYUUN4LXHPNUL</v>
          </cell>
          <cell r="S18" t="str">
            <v>执业医师</v>
          </cell>
          <cell r="T18" t="str">
            <v>142411300000870</v>
          </cell>
          <cell r="U18" t="str">
            <v>否</v>
          </cell>
          <cell r="V18" t="str">
            <v>无</v>
          </cell>
          <cell r="W18" t="str">
            <v>新野县人民医院</v>
          </cell>
          <cell r="X18" t="str">
            <v>15225657882</v>
          </cell>
        </row>
        <row r="19">
          <cell r="D19" t="str">
            <v>齐瑞铉</v>
          </cell>
          <cell r="E19" t="str">
            <v>男</v>
          </cell>
          <cell r="F19" t="str">
            <v>1997-03-11</v>
          </cell>
          <cell r="G19" t="str">
            <v>411328199703115017</v>
          </cell>
          <cell r="H19" t="str">
            <v>汉族</v>
          </cell>
          <cell r="I19" t="str">
            <v>河南省</v>
          </cell>
          <cell r="J19" t="str">
            <v>新野县</v>
          </cell>
          <cell r="K19" t="str">
            <v>上港乡</v>
          </cell>
          <cell r="L19" t="str">
            <v>共青团员</v>
          </cell>
          <cell r="M19" t="str">
            <v>河南省新野县上港乡齐花园村</v>
          </cell>
          <cell r="N19" t="str">
            <v>2021.07</v>
          </cell>
          <cell r="O19" t="str">
            <v>河南中医药大学</v>
          </cell>
          <cell r="P19" t="str">
            <v>本科</v>
          </cell>
          <cell r="Q19" t="str">
            <v>中医学</v>
          </cell>
          <cell r="R19" t="str">
            <v>A5V9XC6M75EXQWB6</v>
          </cell>
          <cell r="S19" t="str">
            <v>无</v>
          </cell>
          <cell r="T19" t="str">
            <v>无</v>
          </cell>
          <cell r="U19" t="str">
            <v>否</v>
          </cell>
          <cell r="V19" t="str">
            <v>无</v>
          </cell>
          <cell r="W19" t="str">
            <v>新野县人民医院</v>
          </cell>
          <cell r="X19" t="str">
            <v>15083371687</v>
          </cell>
        </row>
        <row r="20">
          <cell r="D20" t="str">
            <v>魏丹</v>
          </cell>
          <cell r="E20" t="str">
            <v>女</v>
          </cell>
          <cell r="F20" t="str">
            <v>1994-08-25</v>
          </cell>
          <cell r="G20" t="str">
            <v>41132519940825076X</v>
          </cell>
          <cell r="H20" t="str">
            <v>汉族</v>
          </cell>
          <cell r="I20" t="str">
            <v>河南省</v>
          </cell>
          <cell r="J20" t="str">
            <v>唐河县</v>
          </cell>
          <cell r="K20" t="str">
            <v>城郊乡</v>
          </cell>
          <cell r="L20" t="str">
            <v>共青团员</v>
          </cell>
          <cell r="M20" t="str">
            <v>河南省南阳市新野县上港乡齐花园村</v>
          </cell>
          <cell r="N20" t="str">
            <v>2021.07</v>
          </cell>
          <cell r="O20" t="str">
            <v>河南中医药大学</v>
          </cell>
          <cell r="P20" t="str">
            <v>本科</v>
          </cell>
          <cell r="Q20" t="str">
            <v>中医学</v>
          </cell>
          <cell r="R20" t="str">
            <v>AQK02N5MVCQ68LSQ</v>
          </cell>
          <cell r="S20" t="str">
            <v>无</v>
          </cell>
          <cell r="T20" t="str">
            <v>无</v>
          </cell>
          <cell r="U20" t="str">
            <v>否</v>
          </cell>
          <cell r="V20" t="str">
            <v>无</v>
          </cell>
          <cell r="W20" t="str">
            <v>无</v>
          </cell>
          <cell r="X20" t="str">
            <v>15225618186</v>
          </cell>
        </row>
        <row r="21">
          <cell r="D21" t="str">
            <v>陶卓</v>
          </cell>
          <cell r="E21" t="str">
            <v>女</v>
          </cell>
          <cell r="F21" t="str">
            <v>1997-08-28</v>
          </cell>
          <cell r="G21" t="str">
            <v>411328199708285023</v>
          </cell>
          <cell r="H21" t="str">
            <v>汉族</v>
          </cell>
          <cell r="I21" t="str">
            <v>河南</v>
          </cell>
          <cell r="J21" t="str">
            <v>新野</v>
          </cell>
          <cell r="K21" t="str">
            <v>上港</v>
          </cell>
          <cell r="L21" t="str">
            <v>共青团员</v>
          </cell>
          <cell r="M21" t="str">
            <v>河南省南阳市新野县上港乡岗南村</v>
          </cell>
          <cell r="N21" t="str">
            <v>2020.07</v>
          </cell>
          <cell r="O21" t="str">
            <v>河南中医药大学</v>
          </cell>
          <cell r="P21" t="str">
            <v>本科</v>
          </cell>
          <cell r="Q21" t="str">
            <v>中西医临床医学</v>
          </cell>
          <cell r="R21" t="str">
            <v>A7H3KXXJHPSJ98CH</v>
          </cell>
          <cell r="S21" t="str">
            <v>无</v>
          </cell>
          <cell r="T21" t="str">
            <v>无</v>
          </cell>
          <cell r="U21" t="str">
            <v>否</v>
          </cell>
          <cell r="V21" t="str">
            <v>无</v>
          </cell>
          <cell r="W21" t="str">
            <v>无</v>
          </cell>
          <cell r="X21" t="str">
            <v>18864512162</v>
          </cell>
        </row>
        <row r="22">
          <cell r="D22" t="str">
            <v>杨宇欣</v>
          </cell>
          <cell r="E22" t="str">
            <v>女</v>
          </cell>
          <cell r="F22" t="str">
            <v>1998-03-02</v>
          </cell>
          <cell r="G22" t="str">
            <v>411328199803020664</v>
          </cell>
          <cell r="H22" t="str">
            <v>汉族</v>
          </cell>
          <cell r="I22" t="str">
            <v>河南省</v>
          </cell>
          <cell r="J22" t="str">
            <v>新野县</v>
          </cell>
          <cell r="K22" t="str">
            <v>汉华街道</v>
          </cell>
          <cell r="L22" t="str">
            <v>共青团员</v>
          </cell>
          <cell r="M22" t="str">
            <v>河南省新野县汉华街道办事处孟营社区王庄1组</v>
          </cell>
          <cell r="N22" t="str">
            <v>2021.07</v>
          </cell>
          <cell r="O22" t="str">
            <v>河南中医药大学</v>
          </cell>
          <cell r="P22" t="str">
            <v>本科</v>
          </cell>
          <cell r="Q22" t="str">
            <v>中西医临床医学</v>
          </cell>
          <cell r="R22" t="str">
            <v>ADAGA0NNH7W5660J</v>
          </cell>
          <cell r="S22" t="str">
            <v>无</v>
          </cell>
          <cell r="T22" t="str">
            <v>无</v>
          </cell>
          <cell r="U22" t="str">
            <v>否</v>
          </cell>
          <cell r="V22" t="str">
            <v>无</v>
          </cell>
          <cell r="W22" t="str">
            <v>无</v>
          </cell>
          <cell r="X22" t="str">
            <v>15649685338</v>
          </cell>
        </row>
        <row r="23">
          <cell r="D23" t="str">
            <v>翁娜</v>
          </cell>
          <cell r="E23" t="str">
            <v>女</v>
          </cell>
          <cell r="F23" t="str">
            <v>2000-01-06</v>
          </cell>
          <cell r="G23" t="str">
            <v>411328200001067167</v>
          </cell>
          <cell r="H23" t="str">
            <v>汉族</v>
          </cell>
          <cell r="I23" t="str">
            <v>河南省</v>
          </cell>
          <cell r="J23" t="str">
            <v>新野县</v>
          </cell>
          <cell r="K23" t="str">
            <v>溧河铺镇</v>
          </cell>
          <cell r="L23" t="str">
            <v>共青团员</v>
          </cell>
          <cell r="M23" t="str">
            <v>河南省南阳市新野县汉华街道闽营</v>
          </cell>
          <cell r="N23" t="str">
            <v>2022.07</v>
          </cell>
          <cell r="O23" t="str">
            <v>平顶山学院</v>
          </cell>
          <cell r="P23" t="str">
            <v>本科</v>
          </cell>
          <cell r="Q23" t="str">
            <v>护理学</v>
          </cell>
          <cell r="R23" t="str">
            <v>AS00AXF7CAUNGLRP</v>
          </cell>
          <cell r="S23" t="str">
            <v>未注册</v>
          </cell>
          <cell r="T23" t="str">
            <v>2020141010870483</v>
          </cell>
          <cell r="U23" t="str">
            <v>否</v>
          </cell>
          <cell r="V23" t="str">
            <v>无</v>
          </cell>
          <cell r="W23" t="str">
            <v>无</v>
          </cell>
          <cell r="X23" t="str">
            <v>17513176125</v>
          </cell>
        </row>
        <row r="24">
          <cell r="D24" t="str">
            <v>吴旭晖</v>
          </cell>
          <cell r="E24" t="str">
            <v>女</v>
          </cell>
          <cell r="F24" t="str">
            <v>1998-10-05</v>
          </cell>
          <cell r="G24" t="str">
            <v>411328199810050028</v>
          </cell>
          <cell r="H24" t="str">
            <v>汉族</v>
          </cell>
          <cell r="I24" t="str">
            <v>河南省</v>
          </cell>
          <cell r="J24" t="str">
            <v>新野县</v>
          </cell>
          <cell r="K24" t="str">
            <v>汉城街道</v>
          </cell>
          <cell r="L24" t="str">
            <v>共青团员</v>
          </cell>
          <cell r="M24" t="str">
            <v>河南省南阳市新野县老县社家属院</v>
          </cell>
          <cell r="N24" t="str">
            <v>2022.07</v>
          </cell>
          <cell r="O24" t="str">
            <v>河南科技职业大学</v>
          </cell>
          <cell r="P24" t="str">
            <v>本科</v>
          </cell>
          <cell r="Q24" t="str">
            <v>护理</v>
          </cell>
          <cell r="R24" t="str">
            <v>AT4GSQSQ5RPDMMJH</v>
          </cell>
          <cell r="S24" t="str">
            <v>有</v>
          </cell>
          <cell r="T24" t="str">
            <v>202241005738</v>
          </cell>
          <cell r="U24" t="str">
            <v>否</v>
          </cell>
          <cell r="V24" t="str">
            <v>无</v>
          </cell>
          <cell r="W24" t="str">
            <v>无</v>
          </cell>
          <cell r="X24" t="str">
            <v>19937713256</v>
          </cell>
        </row>
        <row r="25">
          <cell r="D25" t="str">
            <v>邵敬亚</v>
          </cell>
          <cell r="E25" t="str">
            <v>女</v>
          </cell>
          <cell r="F25" t="str">
            <v>1997-04-14</v>
          </cell>
          <cell r="G25" t="str">
            <v>411328199704147168</v>
          </cell>
          <cell r="H25" t="str">
            <v>汉族</v>
          </cell>
          <cell r="I25" t="str">
            <v>河南省</v>
          </cell>
          <cell r="J25" t="str">
            <v>新野县</v>
          </cell>
          <cell r="K25" t="str">
            <v>溧河铺镇</v>
          </cell>
          <cell r="L25" t="str">
            <v>中共党员</v>
          </cell>
          <cell r="M25" t="str">
            <v>河南省南阳市新野县溧河铺镇毛桥村石羊岗1组</v>
          </cell>
          <cell r="N25" t="str">
            <v>2022.07</v>
          </cell>
          <cell r="O25" t="str">
            <v>河南大学民生学院</v>
          </cell>
          <cell r="P25" t="str">
            <v>本科</v>
          </cell>
          <cell r="Q25" t="str">
            <v>护理学</v>
          </cell>
          <cell r="R25" t="str">
            <v>A156XKT55YW4AYWS</v>
          </cell>
          <cell r="S25" t="str">
            <v>护士资格证</v>
          </cell>
          <cell r="T25" t="str">
            <v>30120200941130150377</v>
          </cell>
          <cell r="U25" t="str">
            <v>否</v>
          </cell>
          <cell r="V25" t="str">
            <v>无</v>
          </cell>
          <cell r="W25" t="str">
            <v>无</v>
          </cell>
          <cell r="X25" t="str">
            <v>15837711849</v>
          </cell>
        </row>
        <row r="26">
          <cell r="D26" t="str">
            <v>齐嘉翾</v>
          </cell>
          <cell r="E26" t="str">
            <v>女</v>
          </cell>
          <cell r="F26" t="str">
            <v>1997-02-05</v>
          </cell>
          <cell r="G26" t="str">
            <v>411328199702055024</v>
          </cell>
          <cell r="H26" t="str">
            <v>汉族</v>
          </cell>
          <cell r="I26" t="str">
            <v>河南省</v>
          </cell>
          <cell r="J26" t="str">
            <v>新野县</v>
          </cell>
          <cell r="K26" t="str">
            <v>上港</v>
          </cell>
          <cell r="L26" t="str">
            <v>中共党员</v>
          </cell>
          <cell r="M26" t="str">
            <v>河南省南阳市新野县</v>
          </cell>
          <cell r="N26" t="str">
            <v>2021.07</v>
          </cell>
          <cell r="O26" t="str">
            <v>河南大学民生学院</v>
          </cell>
          <cell r="P26" t="str">
            <v>本科</v>
          </cell>
          <cell r="Q26" t="str">
            <v>护理学</v>
          </cell>
          <cell r="R26" t="str">
            <v>A4JCYWFHANAZU2MW</v>
          </cell>
          <cell r="S26" t="str">
            <v>已注册</v>
          </cell>
          <cell r="T26" t="str">
            <v>202241004154</v>
          </cell>
          <cell r="U26" t="str">
            <v>否</v>
          </cell>
          <cell r="V26" t="str">
            <v>无</v>
          </cell>
          <cell r="W26" t="str">
            <v>无</v>
          </cell>
          <cell r="X26" t="str">
            <v>13461979536</v>
          </cell>
        </row>
        <row r="27">
          <cell r="D27" t="str">
            <v>樊露露</v>
          </cell>
          <cell r="E27" t="str">
            <v>女</v>
          </cell>
          <cell r="F27" t="str">
            <v>1998-08-12</v>
          </cell>
          <cell r="G27" t="str">
            <v>411328199808122141</v>
          </cell>
          <cell r="H27" t="str">
            <v>汉族</v>
          </cell>
          <cell r="I27" t="str">
            <v>河南</v>
          </cell>
          <cell r="J27" t="str">
            <v>新野</v>
          </cell>
          <cell r="K27" t="str">
            <v>上庄</v>
          </cell>
          <cell r="L27" t="str">
            <v>共青团员</v>
          </cell>
          <cell r="M27" t="str">
            <v>河南省南阳市新野县人民路百宁街法院小区</v>
          </cell>
          <cell r="N27" t="str">
            <v>2021.07</v>
          </cell>
          <cell r="O27" t="str">
            <v>辽东学院</v>
          </cell>
          <cell r="P27" t="str">
            <v>本科</v>
          </cell>
          <cell r="Q27" t="str">
            <v>护理学</v>
          </cell>
          <cell r="R27" t="str">
            <v>A0RTXZ29DZZXFBAN</v>
          </cell>
          <cell r="S27" t="str">
            <v>有</v>
          </cell>
          <cell r="T27" t="str">
            <v>202141031514</v>
          </cell>
          <cell r="U27" t="str">
            <v>否</v>
          </cell>
          <cell r="V27" t="str">
            <v>无</v>
          </cell>
          <cell r="W27" t="str">
            <v>宛成东大医院   内镜室和手术室护士</v>
          </cell>
          <cell r="X27" t="str">
            <v>13719364817</v>
          </cell>
        </row>
        <row r="28">
          <cell r="D28" t="str">
            <v>李晓燕</v>
          </cell>
          <cell r="E28" t="str">
            <v>女</v>
          </cell>
          <cell r="F28" t="str">
            <v>1999-02-03</v>
          </cell>
          <cell r="G28" t="str">
            <v>411328199902031326</v>
          </cell>
          <cell r="H28" t="str">
            <v>汉族</v>
          </cell>
          <cell r="I28" t="str">
            <v>河南省</v>
          </cell>
          <cell r="J28" t="str">
            <v>新野县</v>
          </cell>
          <cell r="K28" t="str">
            <v>歪子镇</v>
          </cell>
          <cell r="L28" t="str">
            <v>共青团员</v>
          </cell>
          <cell r="M28" t="str">
            <v>河南省南阳市新野县歪子镇官寺村池庄三组</v>
          </cell>
          <cell r="N28" t="str">
            <v>2022.07</v>
          </cell>
          <cell r="O28" t="str">
            <v>郑州工业应用技术学院</v>
          </cell>
          <cell r="P28" t="str">
            <v>本科</v>
          </cell>
          <cell r="Q28" t="str">
            <v>护理</v>
          </cell>
          <cell r="R28" t="str">
            <v>AAZA7ZWF5L9FL7WK</v>
          </cell>
          <cell r="S28" t="str">
            <v>有</v>
          </cell>
          <cell r="T28" t="str">
            <v>30120200941170191007</v>
          </cell>
          <cell r="U28" t="str">
            <v>否</v>
          </cell>
          <cell r="V28" t="str">
            <v>无</v>
          </cell>
          <cell r="W28" t="str">
            <v>无</v>
          </cell>
          <cell r="X28" t="str">
            <v>18237748473</v>
          </cell>
        </row>
        <row r="29">
          <cell r="D29" t="str">
            <v>李娅</v>
          </cell>
          <cell r="E29" t="str">
            <v>女</v>
          </cell>
          <cell r="F29" t="str">
            <v>1998-02-01</v>
          </cell>
          <cell r="G29" t="str">
            <v>411328199802017789</v>
          </cell>
          <cell r="H29" t="str">
            <v>汉族</v>
          </cell>
          <cell r="I29" t="str">
            <v>河南省</v>
          </cell>
          <cell r="J29" t="str">
            <v>新野县</v>
          </cell>
          <cell r="K29" t="str">
            <v>汉城街道</v>
          </cell>
          <cell r="L29" t="str">
            <v>共青团员</v>
          </cell>
          <cell r="M29" t="str">
            <v>河南省南阳市新野县汉城街道办事处解放街一段1414</v>
          </cell>
          <cell r="N29" t="str">
            <v>2022.07</v>
          </cell>
          <cell r="O29" t="str">
            <v>郑州工业应用技术学院</v>
          </cell>
          <cell r="P29" t="str">
            <v>本科</v>
          </cell>
          <cell r="Q29" t="str">
            <v>护理学</v>
          </cell>
          <cell r="R29" t="str">
            <v>ASEQUTP2TS6NAELT</v>
          </cell>
          <cell r="S29" t="str">
            <v>护士资格证</v>
          </cell>
          <cell r="T29" t="str">
            <v>30120200941010418492</v>
          </cell>
          <cell r="U29" t="str">
            <v>否</v>
          </cell>
          <cell r="V29" t="str">
            <v>无</v>
          </cell>
          <cell r="W29" t="str">
            <v>无</v>
          </cell>
          <cell r="X29" t="str">
            <v>18237768958</v>
          </cell>
        </row>
        <row r="30">
          <cell r="D30" t="str">
            <v>冯晓琦</v>
          </cell>
          <cell r="E30" t="str">
            <v>女</v>
          </cell>
          <cell r="F30" t="str">
            <v>1998-02-03</v>
          </cell>
          <cell r="G30" t="str">
            <v>411302199802036046</v>
          </cell>
          <cell r="H30" t="str">
            <v>汉族</v>
          </cell>
          <cell r="I30" t="str">
            <v>河南省南阳市</v>
          </cell>
          <cell r="J30" t="str">
            <v>宛城区</v>
          </cell>
          <cell r="K30" t="str">
            <v>瓦店镇</v>
          </cell>
          <cell r="L30" t="str">
            <v>共青团员</v>
          </cell>
          <cell r="M30" t="str">
            <v>河南省南阳市宛城区瓦店镇李璜村冯庄</v>
          </cell>
          <cell r="N30" t="str">
            <v>2021.07</v>
          </cell>
          <cell r="O30" t="str">
            <v>河南科技大学</v>
          </cell>
          <cell r="P30" t="str">
            <v>本科</v>
          </cell>
          <cell r="Q30" t="str">
            <v>护理学</v>
          </cell>
          <cell r="R30" t="str">
            <v>AZAUH4B1P08KF0NP</v>
          </cell>
          <cell r="S30" t="str">
            <v>护士执业资格证</v>
          </cell>
          <cell r="T30" t="str">
            <v>202241003941</v>
          </cell>
          <cell r="U30" t="str">
            <v>否</v>
          </cell>
          <cell r="V30" t="str">
            <v>无</v>
          </cell>
          <cell r="W30" t="str">
            <v>新野县人民医院</v>
          </cell>
          <cell r="X30" t="str">
            <v>18337703825</v>
          </cell>
        </row>
        <row r="31">
          <cell r="D31" t="str">
            <v>张素</v>
          </cell>
          <cell r="E31" t="str">
            <v>女</v>
          </cell>
          <cell r="F31" t="str">
            <v>1997-09-27</v>
          </cell>
          <cell r="G31" t="str">
            <v>411328199709272128</v>
          </cell>
          <cell r="H31" t="str">
            <v>汉族</v>
          </cell>
          <cell r="I31" t="str">
            <v>河南省</v>
          </cell>
          <cell r="J31" t="str">
            <v>新野县</v>
          </cell>
          <cell r="K31" t="str">
            <v>上庄乡</v>
          </cell>
          <cell r="L31" t="str">
            <v>共青团员</v>
          </cell>
          <cell r="M31" t="str">
            <v>汉城街道政府街</v>
          </cell>
          <cell r="N31" t="str">
            <v>2020.07</v>
          </cell>
          <cell r="O31" t="str">
            <v>商丘工学院</v>
          </cell>
          <cell r="P31" t="str">
            <v>本科</v>
          </cell>
          <cell r="Q31" t="str">
            <v>护理学</v>
          </cell>
          <cell r="R31" t="str">
            <v>AGUU9XRBH7CFFKF4</v>
          </cell>
          <cell r="S31" t="str">
            <v>已取得护士资格证</v>
          </cell>
          <cell r="T31" t="str">
            <v>30120200941140140870</v>
          </cell>
          <cell r="U31" t="str">
            <v>否</v>
          </cell>
          <cell r="V31" t="str">
            <v>无</v>
          </cell>
          <cell r="W31" t="str">
            <v>无</v>
          </cell>
          <cell r="X31" t="str">
            <v>17737066519</v>
          </cell>
        </row>
        <row r="32">
          <cell r="D32" t="str">
            <v>赵寒</v>
          </cell>
          <cell r="E32" t="str">
            <v>女</v>
          </cell>
          <cell r="F32" t="str">
            <v>1998-01-01</v>
          </cell>
          <cell r="G32" t="str">
            <v>411328199801010681</v>
          </cell>
          <cell r="H32" t="str">
            <v>汉族</v>
          </cell>
          <cell r="I32" t="str">
            <v>河南</v>
          </cell>
          <cell r="J32" t="str">
            <v>新野</v>
          </cell>
          <cell r="K32" t="str">
            <v>汉华街道</v>
          </cell>
          <cell r="L32" t="str">
            <v>共青团员</v>
          </cell>
          <cell r="M32" t="str">
            <v>纺织路康美口腔对面</v>
          </cell>
          <cell r="N32" t="str">
            <v>2019.07</v>
          </cell>
          <cell r="O32" t="str">
            <v>郑州西亚斯学院</v>
          </cell>
          <cell r="P32" t="str">
            <v>本科</v>
          </cell>
          <cell r="Q32" t="str">
            <v>护理学</v>
          </cell>
          <cell r="R32" t="str">
            <v>ARBUWQT9H7JLU893</v>
          </cell>
          <cell r="S32" t="str">
            <v>有</v>
          </cell>
          <cell r="T32" t="str">
            <v>201944026196</v>
          </cell>
          <cell r="U32" t="str">
            <v>否</v>
          </cell>
          <cell r="V32" t="str">
            <v>无</v>
          </cell>
          <cell r="W32" t="str">
            <v>无</v>
          </cell>
          <cell r="X32" t="str">
            <v>15690849373</v>
          </cell>
        </row>
        <row r="33">
          <cell r="D33" t="str">
            <v>陶杨</v>
          </cell>
          <cell r="E33" t="str">
            <v>男</v>
          </cell>
          <cell r="F33" t="str">
            <v>1998-04-26</v>
          </cell>
          <cell r="G33" t="str">
            <v>411328199804260678</v>
          </cell>
          <cell r="H33" t="str">
            <v>汉族</v>
          </cell>
          <cell r="I33" t="str">
            <v>河南</v>
          </cell>
          <cell r="J33" t="str">
            <v>新野</v>
          </cell>
          <cell r="K33" t="str">
            <v>汉城</v>
          </cell>
          <cell r="L33" t="str">
            <v>共青团员</v>
          </cell>
          <cell r="M33" t="str">
            <v>新野县汉城街道办事处民主街非农二段1号</v>
          </cell>
          <cell r="N33" t="str">
            <v>2020.7</v>
          </cell>
          <cell r="O33" t="str">
            <v>新乡医学院三全学院</v>
          </cell>
          <cell r="P33" t="str">
            <v>本科</v>
          </cell>
          <cell r="Q33" t="str">
            <v>护理学</v>
          </cell>
          <cell r="R33" t="str">
            <v>ASB4RU1YMK993ZJP</v>
          </cell>
          <cell r="S33" t="str">
            <v>护士资格证</v>
          </cell>
          <cell r="T33" t="str">
            <v>30120200941040210709</v>
          </cell>
          <cell r="U33" t="str">
            <v>否</v>
          </cell>
          <cell r="V33" t="str">
            <v>无</v>
          </cell>
          <cell r="W33" t="str">
            <v>无</v>
          </cell>
          <cell r="X33" t="str">
            <v>15993077620</v>
          </cell>
        </row>
        <row r="34">
          <cell r="D34" t="str">
            <v>张峥</v>
          </cell>
          <cell r="E34" t="str">
            <v>女</v>
          </cell>
          <cell r="F34" t="str">
            <v>1998-03-05</v>
          </cell>
          <cell r="G34" t="str">
            <v>411328199803057168</v>
          </cell>
          <cell r="H34" t="str">
            <v>汉族</v>
          </cell>
          <cell r="I34" t="str">
            <v>河南省</v>
          </cell>
          <cell r="J34" t="str">
            <v>新野县</v>
          </cell>
          <cell r="K34" t="str">
            <v>溧河铺镇</v>
          </cell>
          <cell r="L34" t="str">
            <v>共青团员</v>
          </cell>
          <cell r="M34" t="str">
            <v>新野县溧河铺镇王枣庄村</v>
          </cell>
          <cell r="N34" t="str">
            <v>2020.07</v>
          </cell>
          <cell r="O34" t="str">
            <v>郑州工业应用技术学院</v>
          </cell>
          <cell r="P34" t="str">
            <v>本科</v>
          </cell>
          <cell r="Q34" t="str">
            <v>护理学</v>
          </cell>
          <cell r="R34" t="str">
            <v>AHL9T8FMFEDAL2J7</v>
          </cell>
          <cell r="S34" t="str">
            <v>有</v>
          </cell>
          <cell r="T34" t="str">
            <v>30120200941040240329</v>
          </cell>
          <cell r="U34" t="str">
            <v>否</v>
          </cell>
          <cell r="V34" t="str">
            <v>无</v>
          </cell>
          <cell r="W34" t="str">
            <v>无</v>
          </cell>
          <cell r="X34" t="str">
            <v>18236159375</v>
          </cell>
        </row>
        <row r="35">
          <cell r="D35" t="str">
            <v>张志茹</v>
          </cell>
          <cell r="E35" t="str">
            <v>女</v>
          </cell>
          <cell r="F35" t="str">
            <v>1998-10-15</v>
          </cell>
          <cell r="G35" t="str">
            <v>411381199810157927</v>
          </cell>
          <cell r="H35" t="str">
            <v>汉族</v>
          </cell>
          <cell r="I35" t="str">
            <v>河南省</v>
          </cell>
          <cell r="J35" t="str">
            <v>邓州市</v>
          </cell>
          <cell r="K35" t="str">
            <v>腰店</v>
          </cell>
          <cell r="L35" t="str">
            <v>共青团员</v>
          </cell>
          <cell r="M35" t="str">
            <v>河南省邓州市腰店镇</v>
          </cell>
          <cell r="N35" t="str">
            <v>2022.07</v>
          </cell>
          <cell r="O35" t="str">
            <v>新乡医学院三全学院</v>
          </cell>
          <cell r="P35" t="str">
            <v>本科</v>
          </cell>
          <cell r="Q35" t="str">
            <v>康复治疗学</v>
          </cell>
          <cell r="R35" t="str">
            <v>A10F9S7F8LWY94F5</v>
          </cell>
          <cell r="S35" t="str">
            <v>无</v>
          </cell>
          <cell r="T35" t="str">
            <v>无</v>
          </cell>
          <cell r="U35" t="str">
            <v>否</v>
          </cell>
          <cell r="V35" t="str">
            <v>无</v>
          </cell>
          <cell r="W35" t="str">
            <v>无</v>
          </cell>
          <cell r="X35" t="str">
            <v>15617135510</v>
          </cell>
        </row>
        <row r="36">
          <cell r="D36" t="str">
            <v>武云鹤</v>
          </cell>
          <cell r="E36" t="str">
            <v>女</v>
          </cell>
          <cell r="F36" t="str">
            <v>2000-08-03</v>
          </cell>
          <cell r="G36" t="str">
            <v>41138120000803452X</v>
          </cell>
          <cell r="H36" t="str">
            <v>汉族</v>
          </cell>
          <cell r="I36" t="str">
            <v>河南</v>
          </cell>
          <cell r="J36" t="str">
            <v>邓州</v>
          </cell>
          <cell r="K36" t="str">
            <v>张村镇</v>
          </cell>
          <cell r="L36" t="str">
            <v>共青团员</v>
          </cell>
          <cell r="M36" t="str">
            <v>河南省南阳市邓州市张村镇程营村</v>
          </cell>
          <cell r="N36" t="str">
            <v>2022.07</v>
          </cell>
          <cell r="O36" t="str">
            <v>井冈山大学</v>
          </cell>
          <cell r="P36" t="str">
            <v>本科</v>
          </cell>
          <cell r="Q36" t="str">
            <v>康复治疗学</v>
          </cell>
          <cell r="R36" t="str">
            <v>A6QP7ZK04NQ25KPJ</v>
          </cell>
          <cell r="S36" t="str">
            <v>无</v>
          </cell>
          <cell r="T36" t="str">
            <v>无</v>
          </cell>
          <cell r="U36" t="str">
            <v>否</v>
          </cell>
          <cell r="V36" t="str">
            <v>无</v>
          </cell>
          <cell r="W36" t="str">
            <v>无</v>
          </cell>
          <cell r="X36" t="str">
            <v>18238135329</v>
          </cell>
        </row>
        <row r="37">
          <cell r="D37" t="str">
            <v>张佳</v>
          </cell>
          <cell r="E37" t="str">
            <v>女</v>
          </cell>
          <cell r="F37" t="str">
            <v>1997-11-30</v>
          </cell>
          <cell r="G37" t="str">
            <v>411328199711300028</v>
          </cell>
          <cell r="H37" t="str">
            <v>汉族</v>
          </cell>
          <cell r="I37" t="str">
            <v>河南</v>
          </cell>
          <cell r="J37" t="str">
            <v>新野</v>
          </cell>
          <cell r="K37" t="str">
            <v>汉华</v>
          </cell>
          <cell r="L37" t="str">
            <v>共青团员</v>
          </cell>
          <cell r="M37" t="str">
            <v>河南省新野县汉华街道办事处书院路60号</v>
          </cell>
          <cell r="N37" t="str">
            <v>2021.07</v>
          </cell>
          <cell r="O37" t="str">
            <v>河南中医药大学</v>
          </cell>
          <cell r="P37" t="str">
            <v>本科</v>
          </cell>
          <cell r="Q37" t="str">
            <v>针灸推拿学</v>
          </cell>
          <cell r="R37" t="str">
            <v>AVN161MVDWEP59WL</v>
          </cell>
          <cell r="S37" t="str">
            <v>无</v>
          </cell>
          <cell r="T37" t="str">
            <v>无</v>
          </cell>
          <cell r="U37" t="str">
            <v>否</v>
          </cell>
          <cell r="V37" t="str">
            <v>无</v>
          </cell>
          <cell r="W37" t="str">
            <v>无</v>
          </cell>
          <cell r="X37" t="str">
            <v>18614985707</v>
          </cell>
        </row>
        <row r="38">
          <cell r="D38" t="str">
            <v>王少珍</v>
          </cell>
          <cell r="E38" t="str">
            <v>女</v>
          </cell>
          <cell r="F38" t="str">
            <v>1997-10-30</v>
          </cell>
          <cell r="G38" t="str">
            <v>411328199710300042</v>
          </cell>
          <cell r="H38" t="str">
            <v>汉族</v>
          </cell>
          <cell r="I38" t="str">
            <v>河南</v>
          </cell>
          <cell r="J38" t="str">
            <v>新野</v>
          </cell>
          <cell r="K38" t="str">
            <v>汉华</v>
          </cell>
          <cell r="L38" t="str">
            <v>共青团员</v>
          </cell>
          <cell r="M38" t="str">
            <v>中兴路东段</v>
          </cell>
          <cell r="N38" t="str">
            <v>2019.07</v>
          </cell>
          <cell r="O38" t="str">
            <v>郑州工业应用技术学院</v>
          </cell>
          <cell r="P38" t="str">
            <v>本科</v>
          </cell>
          <cell r="Q38" t="str">
            <v>康复治疗学</v>
          </cell>
          <cell r="R38" t="str">
            <v>625306391285</v>
          </cell>
          <cell r="S38" t="str">
            <v>初级（师）</v>
          </cell>
          <cell r="T38" t="str">
            <v>30220200941132090068</v>
          </cell>
          <cell r="U38" t="str">
            <v>否</v>
          </cell>
          <cell r="V38" t="str">
            <v>无</v>
          </cell>
          <cell r="W38" t="str">
            <v>无</v>
          </cell>
          <cell r="X38" t="str">
            <v>15238376364</v>
          </cell>
        </row>
        <row r="39">
          <cell r="D39" t="str">
            <v>钞晶晶</v>
          </cell>
          <cell r="E39" t="str">
            <v>女</v>
          </cell>
          <cell r="F39" t="str">
            <v>1998-04-21</v>
          </cell>
          <cell r="G39" t="str">
            <v>411328199804215025</v>
          </cell>
          <cell r="H39" t="str">
            <v>汉族</v>
          </cell>
          <cell r="I39" t="str">
            <v>河南省</v>
          </cell>
          <cell r="J39" t="str">
            <v>新野县</v>
          </cell>
          <cell r="K39" t="str">
            <v>上岗</v>
          </cell>
          <cell r="L39" t="str">
            <v>共青团员</v>
          </cell>
          <cell r="M39" t="str">
            <v>河南省南阳市新野县锦绣花园</v>
          </cell>
          <cell r="N39" t="str">
            <v>2021.07</v>
          </cell>
          <cell r="O39" t="str">
            <v>长治医学院</v>
          </cell>
          <cell r="P39" t="str">
            <v>本科</v>
          </cell>
          <cell r="Q39" t="str">
            <v>音乐学（音乐治疗方向）</v>
          </cell>
          <cell r="R39" t="str">
            <v>AR01XWNU48FXB3J9</v>
          </cell>
          <cell r="S39" t="str">
            <v>无</v>
          </cell>
          <cell r="T39" t="str">
            <v>无</v>
          </cell>
          <cell r="U39" t="str">
            <v>否</v>
          </cell>
          <cell r="V39" t="str">
            <v>无</v>
          </cell>
          <cell r="W39" t="str">
            <v>新野县文府高中政治老师</v>
          </cell>
          <cell r="X39" t="str">
            <v>17835651011</v>
          </cell>
        </row>
        <row r="40">
          <cell r="D40" t="str">
            <v>程路</v>
          </cell>
          <cell r="E40" t="str">
            <v>女</v>
          </cell>
          <cell r="F40" t="str">
            <v>1999-04-16</v>
          </cell>
          <cell r="G40" t="str">
            <v>411328199904165520</v>
          </cell>
          <cell r="H40" t="str">
            <v>汉族</v>
          </cell>
          <cell r="I40" t="str">
            <v>河南省</v>
          </cell>
          <cell r="J40" t="str">
            <v>新野县</v>
          </cell>
          <cell r="K40" t="str">
            <v>汉华街道</v>
          </cell>
          <cell r="L40" t="str">
            <v>共青团员</v>
          </cell>
          <cell r="M40" t="str">
            <v>河南省新野县汉华街道办事处书院路60号</v>
          </cell>
          <cell r="N40" t="str">
            <v>2022.07</v>
          </cell>
          <cell r="O40" t="str">
            <v>新乡医学院三全学院</v>
          </cell>
          <cell r="P40" t="str">
            <v>本科</v>
          </cell>
          <cell r="Q40" t="str">
            <v>医学影像技术</v>
          </cell>
          <cell r="R40" t="str">
            <v>A6YM86CCJZTWZL1C</v>
          </cell>
          <cell r="S40" t="str">
            <v>放射医学技术</v>
          </cell>
          <cell r="T40" t="str">
            <v>30220210441130100008</v>
          </cell>
          <cell r="U40" t="str">
            <v>否</v>
          </cell>
          <cell r="V40" t="str">
            <v>无</v>
          </cell>
          <cell r="W40" t="str">
            <v>无</v>
          </cell>
          <cell r="X40" t="str">
            <v>18037112356</v>
          </cell>
        </row>
        <row r="41">
          <cell r="D41" t="str">
            <v>黄思源</v>
          </cell>
          <cell r="E41" t="str">
            <v>男</v>
          </cell>
          <cell r="F41" t="str">
            <v>1997-12-17</v>
          </cell>
          <cell r="G41" t="str">
            <v>411328199712170018</v>
          </cell>
          <cell r="H41" t="str">
            <v>回族</v>
          </cell>
          <cell r="I41" t="str">
            <v>河南省</v>
          </cell>
          <cell r="J41" t="str">
            <v>新野县</v>
          </cell>
          <cell r="K41" t="str">
            <v>汉化街道</v>
          </cell>
          <cell r="L41" t="str">
            <v>共青团员</v>
          </cell>
          <cell r="M41" t="str">
            <v>新野县解放路145号</v>
          </cell>
          <cell r="N41" t="str">
            <v>2022.07</v>
          </cell>
          <cell r="O41" t="str">
            <v>黄河科技学院</v>
          </cell>
          <cell r="P41" t="str">
            <v>本科</v>
          </cell>
          <cell r="Q41" t="str">
            <v>医学影像技术</v>
          </cell>
          <cell r="R41" t="str">
            <v>ATL9UXNDJZ9QYBXK</v>
          </cell>
          <cell r="S41" t="str">
            <v>无</v>
          </cell>
          <cell r="T41" t="str">
            <v>无</v>
          </cell>
          <cell r="U41" t="str">
            <v>否</v>
          </cell>
          <cell r="V41" t="str">
            <v>无</v>
          </cell>
          <cell r="W41" t="str">
            <v>无</v>
          </cell>
          <cell r="X41" t="str">
            <v>13525198034</v>
          </cell>
        </row>
        <row r="42">
          <cell r="D42" t="str">
            <v>曾庆琨</v>
          </cell>
          <cell r="E42" t="str">
            <v>男</v>
          </cell>
          <cell r="F42" t="str">
            <v>1998-12-29</v>
          </cell>
          <cell r="G42" t="str">
            <v>411303199812291530</v>
          </cell>
          <cell r="H42" t="str">
            <v>汉族</v>
          </cell>
          <cell r="I42" t="str">
            <v>河南省</v>
          </cell>
          <cell r="J42" t="str">
            <v>南阳市卧龙区</v>
          </cell>
          <cell r="K42" t="str">
            <v>卧龙岗街道</v>
          </cell>
          <cell r="L42" t="str">
            <v>共青团员</v>
          </cell>
          <cell r="M42" t="str">
            <v>河南省南阳市卧龙区中达明淯新城E区</v>
          </cell>
          <cell r="N42" t="str">
            <v>2022.07</v>
          </cell>
          <cell r="O42" t="str">
            <v>新乡医学院三全学院</v>
          </cell>
          <cell r="P42" t="str">
            <v>本科</v>
          </cell>
          <cell r="Q42" t="str">
            <v>医学影像技术</v>
          </cell>
          <cell r="R42" t="str">
            <v>AU92LMVHR5EL1HLT</v>
          </cell>
          <cell r="S42" t="str">
            <v>放射医学技术（士）</v>
          </cell>
          <cell r="T42" t="str">
            <v>30220210441130010027</v>
          </cell>
          <cell r="U42" t="str">
            <v>否</v>
          </cell>
          <cell r="V42" t="str">
            <v>无</v>
          </cell>
          <cell r="W42" t="str">
            <v>无</v>
          </cell>
          <cell r="X42" t="str">
            <v>17633608776</v>
          </cell>
        </row>
        <row r="43">
          <cell r="D43" t="str">
            <v>王硕</v>
          </cell>
          <cell r="E43" t="str">
            <v>男</v>
          </cell>
          <cell r="F43" t="str">
            <v>1998-10-19</v>
          </cell>
          <cell r="G43" t="str">
            <v>411328199810192114</v>
          </cell>
          <cell r="H43" t="str">
            <v>汉族</v>
          </cell>
          <cell r="I43" t="str">
            <v>河南省</v>
          </cell>
          <cell r="J43" t="str">
            <v>新野县</v>
          </cell>
          <cell r="K43" t="str">
            <v>上庄乡</v>
          </cell>
          <cell r="L43" t="str">
            <v>中共党员</v>
          </cell>
          <cell r="M43" t="str">
            <v>河南省南阳市新野县上庄乡康营村程营814号</v>
          </cell>
          <cell r="N43" t="str">
            <v>2022.07</v>
          </cell>
          <cell r="O43" t="str">
            <v>新乡医学院三全学院</v>
          </cell>
          <cell r="P43" t="str">
            <v>本科</v>
          </cell>
          <cell r="Q43" t="str">
            <v>医学影像技术</v>
          </cell>
          <cell r="R43" t="str">
            <v>ANRLW4NFKM1HQ3FP</v>
          </cell>
          <cell r="S43" t="str">
            <v>放射医学技术（初级士）</v>
          </cell>
          <cell r="T43" t="str">
            <v>30220210441140220013</v>
          </cell>
          <cell r="U43" t="str">
            <v>否</v>
          </cell>
          <cell r="V43" t="str">
            <v>无</v>
          </cell>
          <cell r="W43" t="str">
            <v>无</v>
          </cell>
          <cell r="X43" t="str">
            <v>17503772110</v>
          </cell>
        </row>
        <row r="44">
          <cell r="D44" t="str">
            <v>王汉平</v>
          </cell>
          <cell r="E44" t="str">
            <v>男</v>
          </cell>
          <cell r="F44" t="str">
            <v>1999-10-23</v>
          </cell>
          <cell r="G44" t="str">
            <v>411329199910230014</v>
          </cell>
          <cell r="H44" t="str">
            <v>汉族</v>
          </cell>
          <cell r="I44" t="str">
            <v>河南省</v>
          </cell>
          <cell r="J44" t="str">
            <v>社旗县</v>
          </cell>
          <cell r="K44" t="str">
            <v>赊店镇</v>
          </cell>
          <cell r="L44" t="str">
            <v>共青团员</v>
          </cell>
          <cell r="M44" t="str">
            <v>河南省社旗县赊店镇西山货街27号附9号</v>
          </cell>
          <cell r="N44" t="str">
            <v>2022.07</v>
          </cell>
          <cell r="O44" t="str">
            <v>新乡医学院三全学院</v>
          </cell>
          <cell r="P44" t="str">
            <v>本科</v>
          </cell>
          <cell r="Q44" t="str">
            <v>医学影像技术</v>
          </cell>
          <cell r="R44" t="str">
            <v>AD3UTHBVMYV2TUXG</v>
          </cell>
          <cell r="S44" t="str">
            <v>无</v>
          </cell>
          <cell r="T44" t="str">
            <v>无</v>
          </cell>
          <cell r="U44" t="str">
            <v>否</v>
          </cell>
          <cell r="V44" t="str">
            <v>无</v>
          </cell>
          <cell r="W44" t="str">
            <v>无</v>
          </cell>
          <cell r="X44" t="str">
            <v>13569234567</v>
          </cell>
        </row>
        <row r="45">
          <cell r="D45" t="str">
            <v>杨晓培</v>
          </cell>
          <cell r="E45" t="str">
            <v>女</v>
          </cell>
          <cell r="F45" t="str">
            <v>1998-09-20</v>
          </cell>
          <cell r="G45" t="str">
            <v>411328199809200068</v>
          </cell>
          <cell r="H45" t="str">
            <v>汉族</v>
          </cell>
          <cell r="I45" t="str">
            <v>河南南阳</v>
          </cell>
          <cell r="J45" t="str">
            <v>新野</v>
          </cell>
          <cell r="K45" t="str">
            <v>城关镇</v>
          </cell>
          <cell r="L45" t="str">
            <v>共青团员</v>
          </cell>
          <cell r="M45" t="str">
            <v>河南省南阳市新野县书院后区</v>
          </cell>
          <cell r="N45" t="str">
            <v>2021.07</v>
          </cell>
          <cell r="O45" t="str">
            <v>新乡医学院三全学院</v>
          </cell>
          <cell r="P45" t="str">
            <v>本科</v>
          </cell>
          <cell r="Q45" t="str">
            <v>医学影像技术</v>
          </cell>
          <cell r="R45" t="str">
            <v>AEQXFQGZMTH60H6Y</v>
          </cell>
          <cell r="S45" t="str">
            <v>无</v>
          </cell>
          <cell r="T45" t="str">
            <v>无</v>
          </cell>
          <cell r="U45" t="str">
            <v>否</v>
          </cell>
          <cell r="V45" t="str">
            <v>无</v>
          </cell>
          <cell r="W45" t="str">
            <v>无</v>
          </cell>
          <cell r="X45" t="str">
            <v>18939223661</v>
          </cell>
        </row>
        <row r="46">
          <cell r="D46" t="str">
            <v>杨世鑫</v>
          </cell>
          <cell r="E46" t="str">
            <v>女</v>
          </cell>
          <cell r="F46" t="str">
            <v>1999-02-14</v>
          </cell>
          <cell r="G46" t="str">
            <v>411328199902141322</v>
          </cell>
          <cell r="H46" t="str">
            <v>汉族</v>
          </cell>
          <cell r="I46" t="str">
            <v>河南省南阳市</v>
          </cell>
          <cell r="J46" t="str">
            <v>南阳市</v>
          </cell>
          <cell r="K46" t="str">
            <v>唐河县</v>
          </cell>
          <cell r="L46" t="str">
            <v>共青团员</v>
          </cell>
          <cell r="M46" t="str">
            <v>河南省南阳市唐河县黑龙镇</v>
          </cell>
          <cell r="N46" t="str">
            <v>2020.7</v>
          </cell>
          <cell r="O46" t="str">
            <v>黄河科技学院</v>
          </cell>
          <cell r="P46" t="str">
            <v>本科</v>
          </cell>
          <cell r="Q46" t="str">
            <v>医学影像技术</v>
          </cell>
          <cell r="R46" t="str">
            <v>A379J3G85HP04FUM</v>
          </cell>
          <cell r="S46" t="str">
            <v>无</v>
          </cell>
          <cell r="T46" t="str">
            <v>无</v>
          </cell>
          <cell r="U46" t="str">
            <v>否</v>
          </cell>
          <cell r="V46" t="str">
            <v>无</v>
          </cell>
          <cell r="W46" t="str">
            <v>无</v>
          </cell>
          <cell r="X46" t="str">
            <v>18595904398</v>
          </cell>
        </row>
        <row r="47">
          <cell r="D47" t="str">
            <v>贾腾飞</v>
          </cell>
          <cell r="E47" t="str">
            <v>男</v>
          </cell>
          <cell r="F47" t="str">
            <v>1997-10-13</v>
          </cell>
          <cell r="G47" t="str">
            <v>411330199710130815</v>
          </cell>
          <cell r="H47" t="str">
            <v>汉族</v>
          </cell>
          <cell r="I47" t="str">
            <v>河南省南阳市</v>
          </cell>
          <cell r="J47" t="str">
            <v>西峡县</v>
          </cell>
          <cell r="K47" t="str">
            <v>阳城镇</v>
          </cell>
          <cell r="L47" t="str">
            <v>共青团员</v>
          </cell>
          <cell r="M47" t="str">
            <v>河南省南阳市西峡县龙乡西路西庞营</v>
          </cell>
          <cell r="N47" t="str">
            <v>2022.07</v>
          </cell>
          <cell r="O47" t="str">
            <v>牡丹江医学院</v>
          </cell>
          <cell r="P47" t="str">
            <v>本科</v>
          </cell>
          <cell r="Q47" t="str">
            <v>医学影像学</v>
          </cell>
          <cell r="R47" t="str">
            <v>AH0JM6UBE5YTDBFX</v>
          </cell>
          <cell r="S47" t="str">
            <v>无</v>
          </cell>
          <cell r="T47" t="str">
            <v>无</v>
          </cell>
          <cell r="U47" t="str">
            <v>否</v>
          </cell>
          <cell r="V47" t="str">
            <v>无</v>
          </cell>
          <cell r="W47" t="str">
            <v>无</v>
          </cell>
          <cell r="X47" t="str">
            <v>18736512065</v>
          </cell>
        </row>
        <row r="48">
          <cell r="D48" t="str">
            <v>艾梦琪</v>
          </cell>
          <cell r="E48" t="str">
            <v>女</v>
          </cell>
          <cell r="F48" t="str">
            <v>1996-04-17</v>
          </cell>
          <cell r="G48" t="str">
            <v>41132819960417066X</v>
          </cell>
          <cell r="H48" t="str">
            <v>回族</v>
          </cell>
          <cell r="I48" t="str">
            <v>河南省</v>
          </cell>
          <cell r="J48" t="str">
            <v>新野县</v>
          </cell>
          <cell r="K48" t="str">
            <v>汉华街道办事处</v>
          </cell>
          <cell r="L48" t="str">
            <v>共青团员</v>
          </cell>
          <cell r="M48" t="str">
            <v>新野县汉华街道办事处朝阳路9号</v>
          </cell>
          <cell r="N48" t="str">
            <v>2020.07</v>
          </cell>
          <cell r="O48" t="str">
            <v>黄河科技学院</v>
          </cell>
          <cell r="P48" t="str">
            <v>本科</v>
          </cell>
          <cell r="Q48" t="str">
            <v>医学影像技术</v>
          </cell>
          <cell r="R48" t="str">
            <v>A1JF502EF96Y35SJ</v>
          </cell>
          <cell r="S48" t="str">
            <v>2019.06取得技士证</v>
          </cell>
          <cell r="T48" t="str">
            <v>30220190641131040088</v>
          </cell>
          <cell r="U48" t="str">
            <v>否</v>
          </cell>
          <cell r="V48" t="str">
            <v>无</v>
          </cell>
          <cell r="W48" t="str">
            <v>新野县人民医院</v>
          </cell>
          <cell r="X48" t="str">
            <v>15083316218</v>
          </cell>
        </row>
        <row r="49">
          <cell r="D49" t="str">
            <v>陶梦馨</v>
          </cell>
          <cell r="E49" t="str">
            <v>女</v>
          </cell>
          <cell r="F49" t="str">
            <v>2000-09-20</v>
          </cell>
          <cell r="G49" t="str">
            <v>411328200009207160</v>
          </cell>
          <cell r="H49" t="str">
            <v>汉族</v>
          </cell>
          <cell r="I49" t="str">
            <v>河南省南阳市</v>
          </cell>
          <cell r="J49" t="str">
            <v>新野县</v>
          </cell>
          <cell r="K49" t="str">
            <v>溧河铺镇</v>
          </cell>
          <cell r="L49" t="str">
            <v>共青团员</v>
          </cell>
          <cell r="M49" t="str">
            <v>河南省南阳市新野县溧河铺镇</v>
          </cell>
          <cell r="N49" t="str">
            <v>2022.06</v>
          </cell>
          <cell r="O49" t="str">
            <v>河南科技大学</v>
          </cell>
          <cell r="P49" t="str">
            <v>本科</v>
          </cell>
          <cell r="Q49" t="str">
            <v>医学影像技术</v>
          </cell>
          <cell r="R49" t="str">
            <v>AN2L4NTFX46VF05A</v>
          </cell>
          <cell r="S49" t="str">
            <v>无</v>
          </cell>
          <cell r="T49" t="str">
            <v>无</v>
          </cell>
          <cell r="U49" t="str">
            <v>否</v>
          </cell>
          <cell r="V49" t="str">
            <v>无</v>
          </cell>
          <cell r="W49" t="str">
            <v>无</v>
          </cell>
          <cell r="X49" t="str">
            <v>15237753644</v>
          </cell>
        </row>
        <row r="50">
          <cell r="D50" t="str">
            <v>夏佳</v>
          </cell>
          <cell r="E50" t="str">
            <v>女</v>
          </cell>
          <cell r="F50" t="str">
            <v>2000-06-13</v>
          </cell>
          <cell r="G50" t="str">
            <v>411328200006135528</v>
          </cell>
          <cell r="H50" t="str">
            <v>汉族</v>
          </cell>
          <cell r="I50" t="str">
            <v>河南</v>
          </cell>
          <cell r="J50" t="str">
            <v>新野</v>
          </cell>
          <cell r="K50" t="str">
            <v>新甸铺镇</v>
          </cell>
          <cell r="L50" t="str">
            <v>共青团员</v>
          </cell>
          <cell r="M50" t="str">
            <v>河南省南阳市新野县新甸铺镇杜岗村夏渠</v>
          </cell>
          <cell r="N50" t="str">
            <v>2022.05</v>
          </cell>
          <cell r="O50" t="str">
            <v>河南中医药大学</v>
          </cell>
          <cell r="P50" t="str">
            <v>本科</v>
          </cell>
          <cell r="Q50" t="str">
            <v>医学影像技术</v>
          </cell>
          <cell r="R50" t="str">
            <v>ANAPF6P0WS0NSFD1</v>
          </cell>
          <cell r="S50" t="str">
            <v>无</v>
          </cell>
          <cell r="T50" t="str">
            <v>无</v>
          </cell>
          <cell r="U50" t="str">
            <v>否</v>
          </cell>
          <cell r="V50" t="str">
            <v>无</v>
          </cell>
          <cell r="W50" t="str">
            <v>无</v>
          </cell>
          <cell r="X50" t="str">
            <v>13525106831</v>
          </cell>
        </row>
        <row r="51">
          <cell r="D51" t="str">
            <v>张航</v>
          </cell>
          <cell r="E51" t="str">
            <v>男</v>
          </cell>
          <cell r="F51" t="str">
            <v>1998-10-31</v>
          </cell>
          <cell r="G51" t="str">
            <v>411328199810311339</v>
          </cell>
          <cell r="H51" t="str">
            <v>汉族</v>
          </cell>
          <cell r="I51" t="str">
            <v>河南省</v>
          </cell>
          <cell r="J51" t="str">
            <v>新野县</v>
          </cell>
          <cell r="K51" t="str">
            <v>歪子镇</v>
          </cell>
          <cell r="L51" t="str">
            <v>共青团员</v>
          </cell>
          <cell r="M51" t="str">
            <v>河南省南阳市新野三高</v>
          </cell>
          <cell r="N51" t="str">
            <v>2021.07</v>
          </cell>
          <cell r="O51" t="str">
            <v>河南科技大学</v>
          </cell>
          <cell r="P51" t="str">
            <v>本科</v>
          </cell>
          <cell r="Q51" t="str">
            <v>医学影像技术</v>
          </cell>
          <cell r="R51" t="str">
            <v>A3CQ5Z5S3ZHCN5T2</v>
          </cell>
          <cell r="S51" t="str">
            <v>无</v>
          </cell>
          <cell r="T51" t="str">
            <v>无</v>
          </cell>
          <cell r="U51" t="str">
            <v>否</v>
          </cell>
          <cell r="V51" t="str">
            <v>无</v>
          </cell>
          <cell r="W51" t="str">
            <v>卧龙区疾控中心</v>
          </cell>
          <cell r="X51" t="str">
            <v>17613634780</v>
          </cell>
        </row>
        <row r="52">
          <cell r="D52" t="str">
            <v>黄金迪</v>
          </cell>
          <cell r="E52" t="str">
            <v>女</v>
          </cell>
          <cell r="F52" t="str">
            <v>1999-05-31</v>
          </cell>
          <cell r="G52" t="str">
            <v>411328199905314620</v>
          </cell>
          <cell r="H52" t="str">
            <v>汉族</v>
          </cell>
          <cell r="I52" t="str">
            <v>河南省</v>
          </cell>
          <cell r="J52" t="str">
            <v>新野县</v>
          </cell>
          <cell r="K52" t="str">
            <v>樊集乡后河村后河11组</v>
          </cell>
          <cell r="L52" t="str">
            <v>共青团员</v>
          </cell>
          <cell r="M52" t="str">
            <v>河南省南阳市新野县樊集乡后河村后河11组</v>
          </cell>
          <cell r="N52" t="str">
            <v>2022·07</v>
          </cell>
          <cell r="O52" t="str">
            <v>新乡医学院三全学院</v>
          </cell>
          <cell r="P52" t="str">
            <v>本科</v>
          </cell>
          <cell r="Q52" t="str">
            <v>医学影像技术</v>
          </cell>
          <cell r="R52" t="str">
            <v>AMFBE42UZWWQADQQ</v>
          </cell>
          <cell r="S52" t="str">
            <v>无</v>
          </cell>
          <cell r="T52" t="str">
            <v>无</v>
          </cell>
          <cell r="U52" t="str">
            <v>否</v>
          </cell>
          <cell r="V52" t="str">
            <v>无</v>
          </cell>
          <cell r="W52" t="str">
            <v>无</v>
          </cell>
          <cell r="X52" t="str">
            <v>18438892633</v>
          </cell>
        </row>
        <row r="53">
          <cell r="D53" t="str">
            <v>李丰</v>
          </cell>
          <cell r="E53" t="str">
            <v>男</v>
          </cell>
          <cell r="F53" t="str">
            <v>1997-10-22</v>
          </cell>
          <cell r="G53" t="str">
            <v>411328199710220050</v>
          </cell>
          <cell r="H53" t="str">
            <v>汉族</v>
          </cell>
          <cell r="I53" t="str">
            <v>河南省</v>
          </cell>
          <cell r="J53" t="str">
            <v>新野县</v>
          </cell>
          <cell r="K53" t="str">
            <v>汉城街道</v>
          </cell>
          <cell r="L53" t="str">
            <v>共青团员</v>
          </cell>
          <cell r="M53" t="str">
            <v>新野县西环路南段</v>
          </cell>
          <cell r="N53" t="str">
            <v>2021.07</v>
          </cell>
          <cell r="O53" t="str">
            <v>新乡医学院三全学院</v>
          </cell>
          <cell r="P53" t="str">
            <v>本科</v>
          </cell>
          <cell r="Q53" t="str">
            <v>医学影像技术</v>
          </cell>
          <cell r="R53" t="str">
            <v>A91RT2QN1BE93QVN</v>
          </cell>
          <cell r="S53" t="str">
            <v>无</v>
          </cell>
          <cell r="T53" t="str">
            <v>无</v>
          </cell>
          <cell r="U53" t="str">
            <v>否</v>
          </cell>
          <cell r="V53" t="str">
            <v>无</v>
          </cell>
          <cell r="W53" t="str">
            <v>新野县人民医院</v>
          </cell>
          <cell r="X53" t="str">
            <v>15224892957</v>
          </cell>
        </row>
        <row r="54">
          <cell r="D54" t="str">
            <v>鲁兆卓</v>
          </cell>
          <cell r="E54" t="str">
            <v>男</v>
          </cell>
          <cell r="F54" t="str">
            <v>1993-04-09</v>
          </cell>
          <cell r="G54" t="str">
            <v>411328199304090035</v>
          </cell>
          <cell r="H54" t="str">
            <v>汉族</v>
          </cell>
          <cell r="I54" t="str">
            <v>河南</v>
          </cell>
          <cell r="J54" t="str">
            <v>新野</v>
          </cell>
          <cell r="K54" t="str">
            <v>汉化街道</v>
          </cell>
          <cell r="L54" t="str">
            <v>群众</v>
          </cell>
          <cell r="M54" t="str">
            <v>新野县汉化街道朝阳路65号</v>
          </cell>
          <cell r="N54" t="str">
            <v>2017.07</v>
          </cell>
          <cell r="O54" t="str">
            <v>新乡医学院三全学院</v>
          </cell>
          <cell r="P54" t="str">
            <v>本科</v>
          </cell>
          <cell r="Q54" t="str">
            <v>医学影像技术</v>
          </cell>
          <cell r="R54" t="str">
            <v>AZE0M8QS51B5N12K</v>
          </cell>
          <cell r="S54" t="str">
            <v>放射医学技术技师</v>
          </cell>
          <cell r="T54" t="str">
            <v>30220210441130100081</v>
          </cell>
          <cell r="U54" t="str">
            <v>否</v>
          </cell>
          <cell r="V54" t="str">
            <v>无</v>
          </cell>
          <cell r="W54" t="str">
            <v>新野县人民医院</v>
          </cell>
          <cell r="X54" t="str">
            <v>15203876018</v>
          </cell>
        </row>
        <row r="55">
          <cell r="D55" t="str">
            <v>白莹</v>
          </cell>
          <cell r="E55" t="str">
            <v>女</v>
          </cell>
          <cell r="F55" t="str">
            <v>1997-10-23</v>
          </cell>
          <cell r="G55" t="str">
            <v>411328199710230080</v>
          </cell>
          <cell r="H55" t="str">
            <v>汉族</v>
          </cell>
          <cell r="I55" t="str">
            <v>河南省</v>
          </cell>
          <cell r="J55" t="str">
            <v>新野县</v>
          </cell>
          <cell r="K55" t="str">
            <v>汉城街道</v>
          </cell>
          <cell r="L55" t="str">
            <v>共青团员</v>
          </cell>
          <cell r="M55" t="str">
            <v>河南省新野县汉城街道办事处一运公司家属院朝阳路40号</v>
          </cell>
          <cell r="N55" t="str">
            <v>2020.07.01</v>
          </cell>
          <cell r="O55" t="str">
            <v>新乡医学院三全学院</v>
          </cell>
          <cell r="P55" t="str">
            <v>本科</v>
          </cell>
          <cell r="Q55" t="str">
            <v>医学影像技术</v>
          </cell>
          <cell r="R55" t="str">
            <v>AA8EFLK455E4BCHD</v>
          </cell>
          <cell r="S55" t="str">
            <v>放射医学技术初级（师）</v>
          </cell>
          <cell r="T55" t="str">
            <v>30220210441130100090</v>
          </cell>
          <cell r="U55" t="str">
            <v>否</v>
          </cell>
          <cell r="V55" t="str">
            <v>无</v>
          </cell>
          <cell r="W55" t="str">
            <v>无</v>
          </cell>
          <cell r="X55" t="str">
            <v>15236096817</v>
          </cell>
        </row>
        <row r="56">
          <cell r="D56" t="str">
            <v>王海娥</v>
          </cell>
          <cell r="E56" t="str">
            <v>女</v>
          </cell>
          <cell r="F56" t="str">
            <v>1995-05-15</v>
          </cell>
          <cell r="G56" t="str">
            <v>41138119950515202X</v>
          </cell>
          <cell r="H56" t="str">
            <v>汉族</v>
          </cell>
          <cell r="I56" t="str">
            <v>河南</v>
          </cell>
          <cell r="J56" t="str">
            <v>邓州</v>
          </cell>
          <cell r="K56" t="str">
            <v>汲滩镇</v>
          </cell>
          <cell r="L56" t="str">
            <v>群众</v>
          </cell>
          <cell r="M56" t="str">
            <v>河南省邓州市汲滩镇后寨村后寨225号</v>
          </cell>
          <cell r="N56" t="str">
            <v>2019.7</v>
          </cell>
          <cell r="O56" t="str">
            <v>新乡医学院三全学院</v>
          </cell>
          <cell r="P56" t="str">
            <v>本科</v>
          </cell>
          <cell r="Q56" t="str">
            <v>医学影像技术</v>
          </cell>
          <cell r="R56" t="str">
            <v>AH6PHU9CN7A2SC1V</v>
          </cell>
          <cell r="S56" t="str">
            <v>无</v>
          </cell>
          <cell r="T56" t="str">
            <v>无</v>
          </cell>
          <cell r="U56" t="str">
            <v>否</v>
          </cell>
          <cell r="V56" t="str">
            <v>无</v>
          </cell>
          <cell r="W56" t="str">
            <v>新野县人民医院</v>
          </cell>
          <cell r="X56" t="str">
            <v>18864589120</v>
          </cell>
        </row>
        <row r="57">
          <cell r="D57" t="str">
            <v>牛金星</v>
          </cell>
          <cell r="E57" t="str">
            <v>男</v>
          </cell>
          <cell r="F57" t="str">
            <v>1999-05-25</v>
          </cell>
          <cell r="G57" t="str">
            <v>411325199905255537</v>
          </cell>
          <cell r="H57" t="str">
            <v>汉族</v>
          </cell>
          <cell r="I57" t="str">
            <v>河南省</v>
          </cell>
          <cell r="J57" t="str">
            <v>唐河县</v>
          </cell>
          <cell r="K57" t="str">
            <v>黑龙镇</v>
          </cell>
          <cell r="L57" t="str">
            <v>共青团员</v>
          </cell>
          <cell r="M57" t="str">
            <v>河南省南阳市唐河县曲洼</v>
          </cell>
          <cell r="N57" t="str">
            <v>2022.07</v>
          </cell>
          <cell r="O57" t="str">
            <v>新乡医学院三全学院</v>
          </cell>
          <cell r="P57" t="str">
            <v>本科</v>
          </cell>
          <cell r="Q57" t="str">
            <v>医学影像技术</v>
          </cell>
          <cell r="R57" t="str">
            <v>AVXRUKP4SW2W9RE6</v>
          </cell>
          <cell r="S57" t="str">
            <v>无</v>
          </cell>
          <cell r="T57" t="str">
            <v>无</v>
          </cell>
          <cell r="U57" t="str">
            <v>否</v>
          </cell>
          <cell r="V57" t="str">
            <v>无</v>
          </cell>
          <cell r="W57" t="str">
            <v>无</v>
          </cell>
          <cell r="X57" t="str">
            <v>17638255595</v>
          </cell>
        </row>
        <row r="58">
          <cell r="D58" t="str">
            <v>任雪晴</v>
          </cell>
          <cell r="E58" t="str">
            <v>女</v>
          </cell>
          <cell r="F58" t="str">
            <v>2001-02-13</v>
          </cell>
          <cell r="G58" t="str">
            <v>411328200102133960</v>
          </cell>
          <cell r="H58" t="str">
            <v>汉族</v>
          </cell>
          <cell r="I58" t="str">
            <v>河南</v>
          </cell>
          <cell r="J58" t="str">
            <v>新野</v>
          </cell>
          <cell r="K58" t="str">
            <v>施庵</v>
          </cell>
          <cell r="L58" t="str">
            <v>共青团员</v>
          </cell>
          <cell r="M58" t="str">
            <v>河南省南阳市新野县施庵镇薛庄村11组</v>
          </cell>
          <cell r="N58" t="str">
            <v>2022.07</v>
          </cell>
          <cell r="O58" t="str">
            <v>新乡医学院三全学院</v>
          </cell>
          <cell r="P58" t="str">
            <v>本科</v>
          </cell>
          <cell r="Q58" t="str">
            <v>医学检验技术</v>
          </cell>
          <cell r="R58" t="str">
            <v>AV99662G8RRELC72</v>
          </cell>
          <cell r="S58" t="str">
            <v>无</v>
          </cell>
          <cell r="T58" t="str">
            <v>无</v>
          </cell>
          <cell r="U58" t="str">
            <v>否</v>
          </cell>
          <cell r="V58" t="str">
            <v>无</v>
          </cell>
          <cell r="W58" t="str">
            <v>无</v>
          </cell>
          <cell r="X58" t="str">
            <v>15660857838</v>
          </cell>
        </row>
        <row r="59">
          <cell r="D59" t="str">
            <v>魏一凡</v>
          </cell>
          <cell r="E59" t="str">
            <v>女</v>
          </cell>
          <cell r="F59" t="str">
            <v>2000-12-06</v>
          </cell>
          <cell r="G59" t="str">
            <v>411328200012066186</v>
          </cell>
          <cell r="H59" t="str">
            <v>汉族</v>
          </cell>
          <cell r="I59" t="str">
            <v>河南省</v>
          </cell>
          <cell r="J59" t="str">
            <v>新野县</v>
          </cell>
          <cell r="K59" t="str">
            <v>五星镇</v>
          </cell>
          <cell r="L59" t="str">
            <v>共青团员</v>
          </cell>
          <cell r="M59" t="str">
            <v>新野县汉城路中段</v>
          </cell>
          <cell r="N59" t="str">
            <v>2022.07</v>
          </cell>
          <cell r="O59" t="str">
            <v>新乡医学院三全学院</v>
          </cell>
          <cell r="P59" t="str">
            <v>本科</v>
          </cell>
          <cell r="Q59" t="str">
            <v>医学检验技术</v>
          </cell>
          <cell r="R59" t="str">
            <v>AFUS6NE2CEH7DZMG</v>
          </cell>
          <cell r="S59" t="str">
            <v>无</v>
          </cell>
          <cell r="T59" t="str">
            <v>无</v>
          </cell>
          <cell r="U59" t="str">
            <v>否</v>
          </cell>
          <cell r="V59" t="str">
            <v>无</v>
          </cell>
          <cell r="W59" t="str">
            <v>无</v>
          </cell>
          <cell r="X59" t="str">
            <v>15660858328</v>
          </cell>
        </row>
        <row r="60">
          <cell r="D60" t="str">
            <v>高瑾</v>
          </cell>
          <cell r="E60" t="str">
            <v>女</v>
          </cell>
          <cell r="F60" t="str">
            <v>1999-08-17</v>
          </cell>
          <cell r="G60" t="str">
            <v>411328199908170044</v>
          </cell>
          <cell r="H60" t="str">
            <v>汉族</v>
          </cell>
          <cell r="I60" t="str">
            <v>河南</v>
          </cell>
          <cell r="J60" t="str">
            <v>新野</v>
          </cell>
          <cell r="K60" t="str">
            <v>汉城街道</v>
          </cell>
          <cell r="L60" t="str">
            <v>共青团员</v>
          </cell>
          <cell r="M60" t="str">
            <v>河南省新野县奥通名钻东</v>
          </cell>
          <cell r="N60" t="str">
            <v>2022.07</v>
          </cell>
          <cell r="O60" t="str">
            <v>新乡医学院三全学院</v>
          </cell>
          <cell r="P60" t="str">
            <v>本科</v>
          </cell>
          <cell r="Q60" t="str">
            <v>医学检验技术</v>
          </cell>
          <cell r="R60" t="str">
            <v>AWCP094VSFJ8HV6F</v>
          </cell>
          <cell r="S60" t="str">
            <v>无</v>
          </cell>
          <cell r="T60" t="str">
            <v>无</v>
          </cell>
          <cell r="U60" t="str">
            <v>否</v>
          </cell>
          <cell r="V60" t="str">
            <v>无</v>
          </cell>
          <cell r="W60" t="str">
            <v>无</v>
          </cell>
          <cell r="X60" t="str">
            <v>18838613299</v>
          </cell>
        </row>
        <row r="61">
          <cell r="D61" t="str">
            <v>王瑶</v>
          </cell>
          <cell r="E61" t="str">
            <v>女</v>
          </cell>
          <cell r="F61" t="str">
            <v>1998-09-01</v>
          </cell>
          <cell r="G61" t="str">
            <v>411328199809012788</v>
          </cell>
          <cell r="H61" t="str">
            <v>汉族</v>
          </cell>
          <cell r="I61" t="str">
            <v>河南</v>
          </cell>
          <cell r="J61" t="str">
            <v>新野</v>
          </cell>
          <cell r="K61" t="str">
            <v>王集</v>
          </cell>
          <cell r="L61" t="str">
            <v>共青团员</v>
          </cell>
          <cell r="M61" t="str">
            <v>联通家属院</v>
          </cell>
          <cell r="N61" t="str">
            <v>2021.07</v>
          </cell>
          <cell r="O61" t="str">
            <v>黄河科技学院</v>
          </cell>
          <cell r="P61" t="str">
            <v>本科</v>
          </cell>
          <cell r="Q61" t="str">
            <v>医学检验技术</v>
          </cell>
          <cell r="R61" t="str">
            <v>AGXD5FQGDMRQMTQF</v>
          </cell>
          <cell r="S61" t="str">
            <v>无</v>
          </cell>
          <cell r="T61" t="str">
            <v>无</v>
          </cell>
          <cell r="U61" t="str">
            <v>否</v>
          </cell>
          <cell r="V61" t="str">
            <v>无</v>
          </cell>
          <cell r="W61" t="str">
            <v>无</v>
          </cell>
          <cell r="X61" t="str">
            <v>15716411786</v>
          </cell>
        </row>
        <row r="62">
          <cell r="D62" t="str">
            <v>胡楠</v>
          </cell>
          <cell r="E62" t="str">
            <v>女</v>
          </cell>
          <cell r="F62" t="str">
            <v>1999-05-11</v>
          </cell>
          <cell r="G62" t="str">
            <v>411302199905112320</v>
          </cell>
          <cell r="H62" t="str">
            <v>汉族</v>
          </cell>
          <cell r="I62" t="str">
            <v>河南省</v>
          </cell>
          <cell r="J62" t="str">
            <v>南阳市</v>
          </cell>
          <cell r="K62" t="str">
            <v>宛城区</v>
          </cell>
          <cell r="L62" t="str">
            <v>群众</v>
          </cell>
          <cell r="M62" t="str">
            <v>南阳市宛城区仲景办事处陈棚社区</v>
          </cell>
          <cell r="N62" t="str">
            <v>2022.07</v>
          </cell>
          <cell r="O62" t="str">
            <v>黄河科技学院</v>
          </cell>
          <cell r="P62" t="str">
            <v>本科</v>
          </cell>
          <cell r="Q62" t="str">
            <v>医学检验技术</v>
          </cell>
          <cell r="R62" t="str">
            <v>AMQV850E6QKEJGF3</v>
          </cell>
          <cell r="S62" t="str">
            <v>无</v>
          </cell>
          <cell r="T62" t="str">
            <v>无</v>
          </cell>
          <cell r="U62" t="str">
            <v>否</v>
          </cell>
          <cell r="V62" t="str">
            <v>无</v>
          </cell>
          <cell r="W62" t="str">
            <v>无</v>
          </cell>
          <cell r="X62" t="str">
            <v>18625673883</v>
          </cell>
        </row>
        <row r="63">
          <cell r="D63" t="str">
            <v>黄增辉</v>
          </cell>
          <cell r="E63" t="str">
            <v>男</v>
          </cell>
          <cell r="F63" t="str">
            <v>1996-01-25</v>
          </cell>
          <cell r="G63" t="str">
            <v>411302199601250812</v>
          </cell>
          <cell r="H63" t="str">
            <v>汉族</v>
          </cell>
          <cell r="I63" t="str">
            <v>河南</v>
          </cell>
          <cell r="J63" t="str">
            <v>宛城区</v>
          </cell>
          <cell r="K63" t="str">
            <v>新华街道</v>
          </cell>
          <cell r="L63" t="str">
            <v>群众</v>
          </cell>
          <cell r="M63" t="str">
            <v>工农路</v>
          </cell>
          <cell r="N63" t="str">
            <v>2020.07</v>
          </cell>
          <cell r="O63" t="str">
            <v>黄河科技学院</v>
          </cell>
          <cell r="P63" t="str">
            <v>本科</v>
          </cell>
          <cell r="Q63" t="str">
            <v>医学检验技术</v>
          </cell>
          <cell r="R63" t="str">
            <v>A8VB85UK0A0813HM</v>
          </cell>
          <cell r="S63" t="str">
            <v>无</v>
          </cell>
          <cell r="T63" t="str">
            <v>无</v>
          </cell>
          <cell r="U63" t="str">
            <v>否</v>
          </cell>
          <cell r="V63" t="str">
            <v>无</v>
          </cell>
          <cell r="W63" t="str">
            <v>无</v>
          </cell>
          <cell r="X63" t="str">
            <v>15093861792</v>
          </cell>
        </row>
        <row r="64">
          <cell r="D64" t="str">
            <v>刘楠</v>
          </cell>
          <cell r="E64" t="str">
            <v>女</v>
          </cell>
          <cell r="F64" t="str">
            <v>1998-10-11</v>
          </cell>
          <cell r="G64" t="str">
            <v>411328199810110027</v>
          </cell>
          <cell r="H64" t="str">
            <v>汉族</v>
          </cell>
          <cell r="I64" t="str">
            <v>河南</v>
          </cell>
          <cell r="J64" t="str">
            <v>新野</v>
          </cell>
          <cell r="K64" t="str">
            <v>五瘟庙街</v>
          </cell>
          <cell r="L64" t="str">
            <v>共青团员</v>
          </cell>
          <cell r="M64" t="str">
            <v>粮食储备库9号</v>
          </cell>
          <cell r="N64" t="str">
            <v>2020.07</v>
          </cell>
          <cell r="O64" t="str">
            <v>黄河科技学院</v>
          </cell>
          <cell r="P64" t="str">
            <v>本科</v>
          </cell>
          <cell r="Q64" t="str">
            <v>医学检验技术</v>
          </cell>
          <cell r="R64" t="str">
            <v>AFLBJ8YZSJS7XFYC</v>
          </cell>
          <cell r="S64" t="str">
            <v>无</v>
          </cell>
          <cell r="T64" t="str">
            <v>无</v>
          </cell>
          <cell r="U64" t="str">
            <v>否</v>
          </cell>
          <cell r="V64" t="str">
            <v>无</v>
          </cell>
          <cell r="W64" t="str">
            <v>新野县人民医院</v>
          </cell>
          <cell r="X64" t="str">
            <v>15638548998</v>
          </cell>
        </row>
        <row r="65">
          <cell r="D65" t="str">
            <v>李雪</v>
          </cell>
          <cell r="E65" t="str">
            <v>女</v>
          </cell>
          <cell r="F65" t="str">
            <v>1999-02-28</v>
          </cell>
          <cell r="G65" t="str">
            <v>411381199902280025</v>
          </cell>
          <cell r="H65" t="str">
            <v>汉族</v>
          </cell>
          <cell r="I65" t="str">
            <v>河南</v>
          </cell>
          <cell r="J65" t="str">
            <v>邓州</v>
          </cell>
          <cell r="K65" t="str">
            <v>张楼</v>
          </cell>
          <cell r="L65" t="str">
            <v>共青团员</v>
          </cell>
          <cell r="M65" t="str">
            <v>邓州市新华中路100号</v>
          </cell>
          <cell r="N65" t="str">
            <v>2022.07</v>
          </cell>
          <cell r="O65" t="str">
            <v>黄河科技学院</v>
          </cell>
          <cell r="P65" t="str">
            <v>本科</v>
          </cell>
          <cell r="Q65" t="str">
            <v>医学检验技术</v>
          </cell>
          <cell r="R65" t="str">
            <v>AZ22FE1PZZJUQUPQ</v>
          </cell>
          <cell r="S65" t="str">
            <v>无</v>
          </cell>
          <cell r="T65" t="str">
            <v>无</v>
          </cell>
          <cell r="U65" t="str">
            <v>否</v>
          </cell>
          <cell r="V65" t="str">
            <v>无</v>
          </cell>
          <cell r="W65" t="str">
            <v>无</v>
          </cell>
          <cell r="X65" t="str">
            <v>18238132973</v>
          </cell>
        </row>
        <row r="66">
          <cell r="D66" t="str">
            <v>卢宇鹏</v>
          </cell>
          <cell r="E66" t="str">
            <v>女</v>
          </cell>
          <cell r="F66" t="str">
            <v>1998-04-10</v>
          </cell>
          <cell r="G66" t="str">
            <v>41138119980410030X</v>
          </cell>
          <cell r="H66" t="str">
            <v>汉族</v>
          </cell>
          <cell r="I66" t="str">
            <v>河南省</v>
          </cell>
          <cell r="J66" t="str">
            <v>邓州市</v>
          </cell>
          <cell r="K66" t="str">
            <v>花洲街道</v>
          </cell>
          <cell r="L66" t="str">
            <v>共青团员</v>
          </cell>
          <cell r="M66" t="str">
            <v>河南省邓州市花洲街道办事处文化路126号</v>
          </cell>
          <cell r="N66" t="str">
            <v>2022.07</v>
          </cell>
          <cell r="O66" t="str">
            <v>河南科技大学</v>
          </cell>
          <cell r="P66" t="str">
            <v>本科</v>
          </cell>
          <cell r="Q66" t="str">
            <v>医学检验技术</v>
          </cell>
          <cell r="R66" t="str">
            <v>AASC75NF6112ZBX5</v>
          </cell>
          <cell r="S66" t="str">
            <v>无</v>
          </cell>
          <cell r="T66" t="str">
            <v>无</v>
          </cell>
          <cell r="U66" t="str">
            <v>否</v>
          </cell>
          <cell r="V66" t="str">
            <v>无</v>
          </cell>
          <cell r="W66" t="str">
            <v>无</v>
          </cell>
          <cell r="X66" t="str">
            <v>13838745935</v>
          </cell>
        </row>
        <row r="67">
          <cell r="D67" t="str">
            <v>孙楠</v>
          </cell>
          <cell r="E67" t="str">
            <v>女</v>
          </cell>
          <cell r="F67" t="str">
            <v>1997-12-10</v>
          </cell>
          <cell r="G67" t="str">
            <v>411381199712108240</v>
          </cell>
          <cell r="H67" t="str">
            <v>汉族</v>
          </cell>
          <cell r="I67" t="str">
            <v>河南省</v>
          </cell>
          <cell r="J67" t="str">
            <v>邓州市</v>
          </cell>
          <cell r="K67" t="str">
            <v>汲滩镇孙庄村</v>
          </cell>
          <cell r="L67" t="str">
            <v>共青团员</v>
          </cell>
          <cell r="M67" t="str">
            <v>河南省邓州市汲滩镇孙庄村</v>
          </cell>
          <cell r="N67" t="str">
            <v>2021.07</v>
          </cell>
          <cell r="O67" t="str">
            <v>河南中医药大学</v>
          </cell>
          <cell r="P67" t="str">
            <v>本科</v>
          </cell>
          <cell r="Q67" t="str">
            <v>医学检验技术</v>
          </cell>
          <cell r="R67" t="str">
            <v>ACJY2U9E7V4W4R2U</v>
          </cell>
          <cell r="S67" t="str">
            <v>无</v>
          </cell>
          <cell r="T67" t="str">
            <v>无</v>
          </cell>
          <cell r="U67" t="str">
            <v>否</v>
          </cell>
          <cell r="V67" t="str">
            <v>无</v>
          </cell>
          <cell r="W67" t="str">
            <v>无</v>
          </cell>
          <cell r="X67" t="str">
            <v>18438986335</v>
          </cell>
        </row>
        <row r="68">
          <cell r="D68" t="str">
            <v>袁鸣</v>
          </cell>
          <cell r="E68" t="str">
            <v>女</v>
          </cell>
          <cell r="F68" t="str">
            <v>1996-01-05</v>
          </cell>
          <cell r="G68" t="str">
            <v>411330199601050023</v>
          </cell>
          <cell r="H68" t="str">
            <v>汉族</v>
          </cell>
          <cell r="I68" t="str">
            <v>河南</v>
          </cell>
          <cell r="J68" t="str">
            <v>南阳</v>
          </cell>
          <cell r="K68" t="str">
            <v>丹水</v>
          </cell>
          <cell r="L68" t="str">
            <v>共青团员</v>
          </cell>
          <cell r="M68" t="str">
            <v>山东省东营市经济技术开发区长安泰美御苑小高层</v>
          </cell>
          <cell r="N68" t="str">
            <v>2019.06</v>
          </cell>
          <cell r="O68" t="str">
            <v>山东中医药大学</v>
          </cell>
          <cell r="P68" t="str">
            <v>本科</v>
          </cell>
          <cell r="Q68" t="str">
            <v>中医学五年制</v>
          </cell>
          <cell r="R68" t="str">
            <v>A3U83CZ8C8T8RDVU</v>
          </cell>
          <cell r="S68" t="str">
            <v>有</v>
          </cell>
          <cell r="T68" t="str">
            <v>202137141411330199601050023</v>
          </cell>
          <cell r="U68" t="str">
            <v>否</v>
          </cell>
          <cell r="V68" t="str">
            <v>无</v>
          </cell>
          <cell r="W68" t="str">
            <v>山东省东营市医疗保障局公益岗办公室职员</v>
          </cell>
          <cell r="X68" t="str">
            <v>19862998800</v>
          </cell>
        </row>
        <row r="69">
          <cell r="D69" t="str">
            <v>周鑫</v>
          </cell>
          <cell r="E69" t="str">
            <v>女</v>
          </cell>
          <cell r="F69" t="str">
            <v>1998-04-09</v>
          </cell>
          <cell r="G69" t="str">
            <v>411302199804094821</v>
          </cell>
          <cell r="H69" t="str">
            <v>汉族</v>
          </cell>
          <cell r="I69" t="str">
            <v>河南省</v>
          </cell>
          <cell r="J69" t="str">
            <v>南阳市宛城区</v>
          </cell>
          <cell r="K69" t="str">
            <v>茶庵乡</v>
          </cell>
          <cell r="L69" t="str">
            <v>共青团员</v>
          </cell>
          <cell r="M69" t="str">
            <v>河南省南阳市宛城区茶庵乡茶庵村</v>
          </cell>
          <cell r="N69" t="str">
            <v>2022.07</v>
          </cell>
          <cell r="O69" t="str">
            <v>南阳理工学院</v>
          </cell>
          <cell r="P69" t="str">
            <v>本科</v>
          </cell>
          <cell r="Q69" t="str">
            <v>中医学</v>
          </cell>
          <cell r="R69" t="str">
            <v>AYZC1X40VKDPDFHR</v>
          </cell>
          <cell r="S69" t="str">
            <v>无</v>
          </cell>
          <cell r="T69" t="str">
            <v>无</v>
          </cell>
          <cell r="U69" t="str">
            <v>否</v>
          </cell>
          <cell r="V69" t="str">
            <v>无</v>
          </cell>
          <cell r="W69" t="str">
            <v>无</v>
          </cell>
          <cell r="X69" t="str">
            <v>15224862231</v>
          </cell>
        </row>
        <row r="70">
          <cell r="D70" t="str">
            <v>徐京</v>
          </cell>
          <cell r="E70" t="str">
            <v>女</v>
          </cell>
          <cell r="F70" t="str">
            <v>1994-09-11</v>
          </cell>
          <cell r="G70" t="str">
            <v>411328199409113360</v>
          </cell>
          <cell r="H70" t="str">
            <v>汉族</v>
          </cell>
          <cell r="I70" t="str">
            <v>河南省</v>
          </cell>
          <cell r="J70" t="str">
            <v>新野县</v>
          </cell>
          <cell r="K70" t="str">
            <v>沙堰镇</v>
          </cell>
          <cell r="L70" t="str">
            <v>共青团员</v>
          </cell>
          <cell r="M70" t="str">
            <v>新野县上亿广场</v>
          </cell>
          <cell r="N70" t="str">
            <v>2018.07</v>
          </cell>
          <cell r="O70" t="str">
            <v>郑州工业应用技术学院</v>
          </cell>
          <cell r="P70" t="str">
            <v>本科</v>
          </cell>
          <cell r="Q70" t="str">
            <v>护理学</v>
          </cell>
          <cell r="R70" t="str">
            <v>709774049189</v>
          </cell>
          <cell r="S70" t="str">
            <v>有</v>
          </cell>
          <cell r="T70" t="str">
            <v>201941015020</v>
          </cell>
          <cell r="U70" t="str">
            <v>否</v>
          </cell>
          <cell r="V70" t="str">
            <v>无</v>
          </cell>
          <cell r="W70" t="str">
            <v>新野县中医院　</v>
          </cell>
          <cell r="X70" t="str">
            <v>15713715892</v>
          </cell>
        </row>
        <row r="71">
          <cell r="D71" t="str">
            <v>李俊帆</v>
          </cell>
          <cell r="E71" t="str">
            <v>女</v>
          </cell>
          <cell r="F71" t="str">
            <v>1998-05-05</v>
          </cell>
          <cell r="G71" t="str">
            <v>411329199805050660</v>
          </cell>
          <cell r="H71" t="str">
            <v>汉族</v>
          </cell>
          <cell r="I71" t="str">
            <v>河南省</v>
          </cell>
          <cell r="J71" t="str">
            <v>新野县</v>
          </cell>
          <cell r="K71" t="str">
            <v>汉华街道</v>
          </cell>
          <cell r="L71" t="str">
            <v>共青团员</v>
          </cell>
          <cell r="M71" t="str">
            <v>河南省新野县汉华街道孟营社区孟营18组</v>
          </cell>
          <cell r="N71" t="str">
            <v>2022.06</v>
          </cell>
          <cell r="O71" t="str">
            <v>河南理工大学</v>
          </cell>
          <cell r="P71" t="str">
            <v>本科</v>
          </cell>
          <cell r="Q71" t="str">
            <v>护理学</v>
          </cell>
          <cell r="R71" t="str">
            <v>AZYQY4EDRXGLCXM7</v>
          </cell>
          <cell r="S71" t="str">
            <v>护士资格证</v>
          </cell>
          <cell r="T71" t="str">
            <v>30120200941130150364</v>
          </cell>
          <cell r="U71" t="str">
            <v>否</v>
          </cell>
          <cell r="V71" t="str">
            <v>无</v>
          </cell>
          <cell r="W71" t="str">
            <v>无</v>
          </cell>
          <cell r="X71" t="str">
            <v>18039311082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C8" sqref="C8"/>
    </sheetView>
  </sheetViews>
  <sheetFormatPr defaultColWidth="9" defaultRowHeight="14.1" customHeight="1" outlineLevelCol="6"/>
  <cols>
    <col min="1" max="1" width="10.6" style="2" customWidth="1"/>
    <col min="2" max="2" width="5.5" style="2" customWidth="1"/>
    <col min="3" max="3" width="12.6" style="2" customWidth="1"/>
    <col min="4" max="4" width="6.5" style="2" customWidth="1"/>
    <col min="5" max="6" width="6.8" style="3" customWidth="1"/>
    <col min="7" max="7" width="14.2" style="2" customWidth="1"/>
  </cols>
  <sheetData>
    <row r="1" customHeight="1" spans="1:1">
      <c r="A1" s="2" t="s">
        <v>0</v>
      </c>
    </row>
    <row r="2" ht="42" customHeight="1" spans="1:7">
      <c r="A2" s="6" t="s">
        <v>1</v>
      </c>
      <c r="B2" s="6"/>
      <c r="C2" s="6"/>
      <c r="D2" s="6"/>
      <c r="E2" s="6"/>
      <c r="F2" s="6"/>
      <c r="G2" s="6"/>
    </row>
    <row r="3" ht="28.5" spans="1:7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19" t="s">
        <v>8</v>
      </c>
    </row>
    <row r="4" customHeight="1" spans="1:7">
      <c r="A4" s="21" t="s">
        <v>9</v>
      </c>
      <c r="B4" s="21" t="str">
        <f t="shared" ref="B4:B11" si="0">"1002"</f>
        <v>1002</v>
      </c>
      <c r="C4" s="21" t="s">
        <v>10</v>
      </c>
      <c r="D4" s="21">
        <v>3</v>
      </c>
      <c r="E4" s="22">
        <v>86.62</v>
      </c>
      <c r="F4" s="22">
        <v>86.62</v>
      </c>
      <c r="G4" s="21"/>
    </row>
    <row r="5" customHeight="1" spans="1:7">
      <c r="A5" s="21" t="s">
        <v>11</v>
      </c>
      <c r="B5" s="21" t="str">
        <f t="shared" si="0"/>
        <v>1002</v>
      </c>
      <c r="C5" s="21" t="s">
        <v>10</v>
      </c>
      <c r="D5" s="21">
        <v>8</v>
      </c>
      <c r="E5" s="22">
        <v>85.5</v>
      </c>
      <c r="F5" s="22">
        <v>85.5</v>
      </c>
      <c r="G5" s="21"/>
    </row>
    <row r="6" customHeight="1" spans="1:7">
      <c r="A6" s="21" t="s">
        <v>12</v>
      </c>
      <c r="B6" s="21" t="str">
        <f t="shared" si="0"/>
        <v>1002</v>
      </c>
      <c r="C6" s="21" t="s">
        <v>10</v>
      </c>
      <c r="D6" s="21">
        <v>5</v>
      </c>
      <c r="E6" s="22">
        <v>88.52</v>
      </c>
      <c r="F6" s="22">
        <v>88.52</v>
      </c>
      <c r="G6" s="21"/>
    </row>
    <row r="7" customHeight="1" spans="1:7">
      <c r="A7" s="21" t="s">
        <v>13</v>
      </c>
      <c r="B7" s="21" t="str">
        <f t="shared" si="0"/>
        <v>1002</v>
      </c>
      <c r="C7" s="21" t="s">
        <v>10</v>
      </c>
      <c r="D7" s="21">
        <v>6</v>
      </c>
      <c r="E7" s="22">
        <v>76.22</v>
      </c>
      <c r="F7" s="22">
        <v>76.22</v>
      </c>
      <c r="G7" s="21"/>
    </row>
    <row r="8" customHeight="1" spans="1:7">
      <c r="A8" s="21" t="s">
        <v>14</v>
      </c>
      <c r="B8" s="21" t="str">
        <f t="shared" si="0"/>
        <v>1002</v>
      </c>
      <c r="C8" s="21" t="s">
        <v>10</v>
      </c>
      <c r="D8" s="21">
        <v>4</v>
      </c>
      <c r="E8" s="22">
        <v>84.02</v>
      </c>
      <c r="F8" s="22">
        <v>84.02</v>
      </c>
      <c r="G8" s="21"/>
    </row>
    <row r="9" customHeight="1" spans="1:7">
      <c r="A9" s="21" t="s">
        <v>15</v>
      </c>
      <c r="B9" s="21" t="str">
        <f t="shared" si="0"/>
        <v>1002</v>
      </c>
      <c r="C9" s="21" t="s">
        <v>10</v>
      </c>
      <c r="D9" s="21">
        <v>2</v>
      </c>
      <c r="E9" s="22">
        <v>82.8</v>
      </c>
      <c r="F9" s="22">
        <v>82.8</v>
      </c>
      <c r="G9" s="21"/>
    </row>
    <row r="10" customHeight="1" spans="1:7">
      <c r="A10" s="21" t="s">
        <v>16</v>
      </c>
      <c r="B10" s="21" t="str">
        <f t="shared" si="0"/>
        <v>1002</v>
      </c>
      <c r="C10" s="21" t="s">
        <v>10</v>
      </c>
      <c r="D10" s="21">
        <v>1</v>
      </c>
      <c r="E10" s="22">
        <v>78.1</v>
      </c>
      <c r="F10" s="22">
        <v>78.1</v>
      </c>
      <c r="G10" s="21"/>
    </row>
    <row r="11" customHeight="1" spans="1:7">
      <c r="A11" s="21" t="s">
        <v>17</v>
      </c>
      <c r="B11" s="21" t="str">
        <f t="shared" si="0"/>
        <v>1002</v>
      </c>
      <c r="C11" s="21" t="s">
        <v>10</v>
      </c>
      <c r="D11" s="21">
        <v>7</v>
      </c>
      <c r="E11" s="22">
        <v>85.5</v>
      </c>
      <c r="F11" s="22">
        <v>85.5</v>
      </c>
      <c r="G11" s="21"/>
    </row>
  </sheetData>
  <autoFilter ref="A3:G11">
    <sortState ref="A3:G11">
      <sortCondition ref="B4:B47"/>
      <sortCondition ref="F4:F47" descending="1"/>
    </sortState>
    <extLst/>
  </autoFilter>
  <mergeCells count="1">
    <mergeCell ref="A2:G2"/>
  </mergeCells>
  <printOptions horizontalCentered="1"/>
  <pageMargins left="0.440277777777778" right="0.271527777777778" top="1.43263888888889" bottom="0.275" header="0.16875" footer="0.156944444444444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B68"/>
  <sheetViews>
    <sheetView workbookViewId="0">
      <selection activeCell="N4" sqref="N4"/>
    </sheetView>
  </sheetViews>
  <sheetFormatPr defaultColWidth="9" defaultRowHeight="14.1" customHeight="1"/>
  <cols>
    <col min="1" max="1" width="7.7" style="2" customWidth="1"/>
    <col min="2" max="2" width="11.5" style="2" customWidth="1"/>
    <col min="3" max="3" width="4.9" style="2" customWidth="1"/>
    <col min="4" max="4" width="10.2" style="2" customWidth="1"/>
    <col min="5" max="5" width="9.2" style="3" hidden="1" customWidth="1"/>
    <col min="6" max="6" width="9.2" style="2" hidden="1" customWidth="1"/>
    <col min="7" max="7" width="9.2" style="3" hidden="1" customWidth="1"/>
    <col min="8" max="8" width="6.8" style="3" customWidth="1"/>
    <col min="9" max="9" width="4" style="4" customWidth="1"/>
    <col min="10" max="10" width="10.1" style="5" customWidth="1"/>
    <col min="11" max="12" width="7.4" style="4" customWidth="1"/>
    <col min="13" max="13" width="17.8" style="4" customWidth="1"/>
    <col min="14" max="14" width="6.8" style="4" customWidth="1"/>
    <col min="15" max="15" width="13.6" style="4" customWidth="1"/>
    <col min="16" max="16" width="12.6" style="4" customWidth="1"/>
    <col min="17" max="17" width="12.9" style="2" customWidth="1"/>
  </cols>
  <sheetData>
    <row r="1" ht="22.8" customHeight="1" spans="1:17">
      <c r="A1" s="6" t="s">
        <v>18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6"/>
      <c r="N1" s="6"/>
      <c r="O1" s="6"/>
      <c r="P1" s="6"/>
      <c r="Q1" s="6"/>
    </row>
    <row r="2" ht="27" spans="1:17">
      <c r="A2" s="7" t="s">
        <v>2</v>
      </c>
      <c r="B2" s="7" t="s">
        <v>19</v>
      </c>
      <c r="C2" s="7" t="s">
        <v>3</v>
      </c>
      <c r="D2" s="7" t="s">
        <v>4</v>
      </c>
      <c r="E2" s="8" t="s">
        <v>20</v>
      </c>
      <c r="F2" s="7" t="s">
        <v>5</v>
      </c>
      <c r="G2" s="8" t="s">
        <v>6</v>
      </c>
      <c r="H2" s="8" t="s">
        <v>7</v>
      </c>
      <c r="I2" s="16" t="s">
        <v>21</v>
      </c>
      <c r="J2" s="17" t="s">
        <v>22</v>
      </c>
      <c r="K2" s="16" t="s">
        <v>23</v>
      </c>
      <c r="L2" s="16" t="s">
        <v>24</v>
      </c>
      <c r="M2" s="16" t="s">
        <v>25</v>
      </c>
      <c r="N2" s="16" t="s">
        <v>26</v>
      </c>
      <c r="O2" s="16" t="s">
        <v>27</v>
      </c>
      <c r="P2" s="16" t="s">
        <v>28</v>
      </c>
      <c r="Q2" s="7" t="s">
        <v>8</v>
      </c>
    </row>
    <row r="3" s="1" customFormat="1" ht="27" spans="1:17">
      <c r="A3" s="9" t="str">
        <f>"齐冬雨"</f>
        <v>齐冬雨</v>
      </c>
      <c r="B3" s="9"/>
      <c r="C3" s="9" t="str">
        <f t="shared" ref="C3:C10" si="0">"2002"</f>
        <v>2002</v>
      </c>
      <c r="D3" s="9" t="s">
        <v>29</v>
      </c>
      <c r="E3" s="10"/>
      <c r="F3" s="9">
        <v>2</v>
      </c>
      <c r="G3" s="10">
        <v>85</v>
      </c>
      <c r="H3" s="11">
        <v>85</v>
      </c>
      <c r="I3" s="12" t="str">
        <f>VLOOKUP(A3,[1]体检入围人员!$D:$X,2,0)</f>
        <v>女</v>
      </c>
      <c r="J3" s="14" t="str">
        <f>VLOOKUP(A3,[1]体检入围人员!$D:$X,3,0)</f>
        <v>1998-12-29</v>
      </c>
      <c r="K3" s="12" t="str">
        <f>VLOOKUP(A3,[1]体检入围人员!$D:$X,7,0)</f>
        <v>新野</v>
      </c>
      <c r="L3" s="12" t="str">
        <f>VLOOKUP(A3,[1]体检入围人员!$D:$X,11,0)</f>
        <v>2021.07</v>
      </c>
      <c r="M3" s="12" t="str">
        <f>VLOOKUP(A3,[1]体检入围人员!$D:$X,12,0)</f>
        <v>河南中医药大学</v>
      </c>
      <c r="N3" s="12" t="str">
        <f>VLOOKUP(A3,[1]体检入围人员!$D:$X,13,0)</f>
        <v>本科</v>
      </c>
      <c r="O3" s="12" t="str">
        <f>VLOOKUP(A3,[1]体检入围人员!$D:$X,14,0)</f>
        <v>中西医临床医学</v>
      </c>
      <c r="P3" s="12" t="str">
        <f>VLOOKUP(A3,[1]体检入围人员!$D:$X,21,0)</f>
        <v>15649859026</v>
      </c>
      <c r="Q3" s="9" t="s">
        <v>30</v>
      </c>
    </row>
    <row r="4" s="1" customFormat="1" ht="27" spans="1:17">
      <c r="A4" s="9" t="str">
        <f>"杨爽"</f>
        <v>杨爽</v>
      </c>
      <c r="B4" s="9"/>
      <c r="C4" s="9" t="str">
        <f t="shared" si="0"/>
        <v>2002</v>
      </c>
      <c r="D4" s="9" t="s">
        <v>29</v>
      </c>
      <c r="E4" s="10"/>
      <c r="F4" s="9">
        <v>1</v>
      </c>
      <c r="G4" s="10">
        <v>80.3333333333333</v>
      </c>
      <c r="H4" s="11">
        <v>80.3333333333333</v>
      </c>
      <c r="I4" s="12" t="str">
        <f>VLOOKUP(A4,[1]体检入围人员!$D:$X,2,0)</f>
        <v>女</v>
      </c>
      <c r="J4" s="14" t="str">
        <f>VLOOKUP(A4,[1]体检入围人员!$D:$X,3,0)</f>
        <v>1997-12-16</v>
      </c>
      <c r="K4" s="12" t="str">
        <f>VLOOKUP(A4,[1]体检入围人员!$D:$X,7,0)</f>
        <v>新野</v>
      </c>
      <c r="L4" s="12" t="str">
        <f>VLOOKUP(A4,[1]体检入围人员!$D:$X,11,0)</f>
        <v>2020.07</v>
      </c>
      <c r="M4" s="12" t="str">
        <f>VLOOKUP(A4,[1]体检入围人员!$D:$X,12,0)</f>
        <v>河南中医药大学</v>
      </c>
      <c r="N4" s="12" t="str">
        <f>VLOOKUP(A4,[1]体检入围人员!$D:$X,13,0)</f>
        <v>本科</v>
      </c>
      <c r="O4" s="12" t="str">
        <f>VLOOKUP(A4,[1]体检入围人员!$D:$X,14,0)</f>
        <v>中西医临床医学</v>
      </c>
      <c r="P4" s="12" t="str">
        <f>VLOOKUP(A4,[1]体检入围人员!$D:$X,21,0)</f>
        <v>15225657882</v>
      </c>
      <c r="Q4" s="9" t="s">
        <v>30</v>
      </c>
    </row>
    <row r="5" s="1" customFormat="1" ht="27" spans="1:17">
      <c r="A5" s="9" t="str">
        <f>"陶卓"</f>
        <v>陶卓</v>
      </c>
      <c r="B5" s="9"/>
      <c r="C5" s="9" t="str">
        <f t="shared" si="0"/>
        <v>2002</v>
      </c>
      <c r="D5" s="9" t="s">
        <v>29</v>
      </c>
      <c r="E5" s="10"/>
      <c r="F5" s="9">
        <v>6</v>
      </c>
      <c r="G5" s="10">
        <v>78</v>
      </c>
      <c r="H5" s="11">
        <v>78</v>
      </c>
      <c r="I5" s="12" t="str">
        <f>VLOOKUP(A5,[1]体检入围人员!$D:$X,2,0)</f>
        <v>女</v>
      </c>
      <c r="J5" s="14" t="str">
        <f>VLOOKUP(A5,[1]体检入围人员!$D:$X,3,0)</f>
        <v>1997-08-28</v>
      </c>
      <c r="K5" s="12" t="str">
        <f>VLOOKUP(A5,[1]体检入围人员!$D:$X,7,0)</f>
        <v>新野</v>
      </c>
      <c r="L5" s="12" t="str">
        <f>VLOOKUP(A5,[1]体检入围人员!$D:$X,11,0)</f>
        <v>2020.07</v>
      </c>
      <c r="M5" s="12" t="str">
        <f>VLOOKUP(A5,[1]体检入围人员!$D:$X,12,0)</f>
        <v>河南中医药大学</v>
      </c>
      <c r="N5" s="12" t="str">
        <f>VLOOKUP(A5,[1]体检入围人员!$D:$X,13,0)</f>
        <v>本科</v>
      </c>
      <c r="O5" s="12" t="str">
        <f>VLOOKUP(A5,[1]体检入围人员!$D:$X,14,0)</f>
        <v>中西医临床医学</v>
      </c>
      <c r="P5" s="12" t="str">
        <f>VLOOKUP(A5,[1]体检入围人员!$D:$X,21,0)</f>
        <v>18864512162</v>
      </c>
      <c r="Q5" s="9" t="s">
        <v>30</v>
      </c>
    </row>
    <row r="6" s="1" customFormat="1" ht="27" spans="1:17">
      <c r="A6" s="9" t="str">
        <f>"齐瑞铉"</f>
        <v>齐瑞铉</v>
      </c>
      <c r="B6" s="9"/>
      <c r="C6" s="9" t="str">
        <f t="shared" si="0"/>
        <v>2002</v>
      </c>
      <c r="D6" s="9" t="s">
        <v>29</v>
      </c>
      <c r="E6" s="10"/>
      <c r="F6" s="9">
        <v>5</v>
      </c>
      <c r="G6" s="10">
        <v>74.6666666666667</v>
      </c>
      <c r="H6" s="11">
        <v>74.6666666666667</v>
      </c>
      <c r="I6" s="12" t="str">
        <f>VLOOKUP(A6,[1]体检入围人员!$D:$X,2,0)</f>
        <v>男</v>
      </c>
      <c r="J6" s="14" t="str">
        <f>VLOOKUP(A6,[1]体检入围人员!$D:$X,3,0)</f>
        <v>1997-03-11</v>
      </c>
      <c r="K6" s="12" t="str">
        <f>VLOOKUP(A6,[1]体检入围人员!$D:$X,7,0)</f>
        <v>新野县</v>
      </c>
      <c r="L6" s="12" t="str">
        <f>VLOOKUP(A6,[1]体检入围人员!$D:$X,11,0)</f>
        <v>2021.07</v>
      </c>
      <c r="M6" s="12" t="str">
        <f>VLOOKUP(A6,[1]体检入围人员!$D:$X,12,0)</f>
        <v>河南中医药大学</v>
      </c>
      <c r="N6" s="12" t="str">
        <f>VLOOKUP(A6,[1]体检入围人员!$D:$X,13,0)</f>
        <v>本科</v>
      </c>
      <c r="O6" s="12" t="str">
        <f>VLOOKUP(A6,[1]体检入围人员!$D:$X,14,0)</f>
        <v>中医学</v>
      </c>
      <c r="P6" s="12" t="str">
        <f>VLOOKUP(A6,[1]体检入围人员!$D:$X,21,0)</f>
        <v>15083371687</v>
      </c>
      <c r="Q6" s="9" t="s">
        <v>30</v>
      </c>
    </row>
    <row r="7" s="1" customFormat="1" ht="27" spans="1:17">
      <c r="A7" s="9" t="str">
        <f>"杨宇欣"</f>
        <v>杨宇欣</v>
      </c>
      <c r="B7" s="9"/>
      <c r="C7" s="9" t="str">
        <f t="shared" si="0"/>
        <v>2002</v>
      </c>
      <c r="D7" s="9" t="s">
        <v>29</v>
      </c>
      <c r="E7" s="10"/>
      <c r="F7" s="9">
        <v>4</v>
      </c>
      <c r="G7" s="10">
        <v>73.3333333333333</v>
      </c>
      <c r="H7" s="11">
        <v>73.3333333333333</v>
      </c>
      <c r="I7" s="12" t="str">
        <f>VLOOKUP(A7,[1]体检入围人员!$D:$X,2,0)</f>
        <v>女</v>
      </c>
      <c r="J7" s="14" t="str">
        <f>VLOOKUP(A7,[1]体检入围人员!$D:$X,3,0)</f>
        <v>1998-03-02</v>
      </c>
      <c r="K7" s="12" t="str">
        <f>VLOOKUP(A7,[1]体检入围人员!$D:$X,7,0)</f>
        <v>新野县</v>
      </c>
      <c r="L7" s="12" t="str">
        <f>VLOOKUP(A7,[1]体检入围人员!$D:$X,11,0)</f>
        <v>2021.07</v>
      </c>
      <c r="M7" s="12" t="str">
        <f>VLOOKUP(A7,[1]体检入围人员!$D:$X,12,0)</f>
        <v>河南中医药大学</v>
      </c>
      <c r="N7" s="12" t="str">
        <f>VLOOKUP(A7,[1]体检入围人员!$D:$X,13,0)</f>
        <v>本科</v>
      </c>
      <c r="O7" s="12" t="str">
        <f>VLOOKUP(A7,[1]体检入围人员!$D:$X,14,0)</f>
        <v>中西医临床医学</v>
      </c>
      <c r="P7" s="12" t="str">
        <f>VLOOKUP(A7,[1]体检入围人员!$D:$X,21,0)</f>
        <v>15649685338</v>
      </c>
      <c r="Q7" s="9" t="s">
        <v>30</v>
      </c>
    </row>
    <row r="8" s="1" customFormat="1" ht="28.8" hidden="1" customHeight="1" spans="1:17">
      <c r="A8" s="9" t="str">
        <f>"栗悦"</f>
        <v>栗悦</v>
      </c>
      <c r="B8" s="9"/>
      <c r="C8" s="9" t="str">
        <f t="shared" si="0"/>
        <v>2002</v>
      </c>
      <c r="D8" s="9" t="s">
        <v>29</v>
      </c>
      <c r="E8" s="10"/>
      <c r="F8" s="9">
        <v>7</v>
      </c>
      <c r="G8" s="10">
        <v>72.6666666666667</v>
      </c>
      <c r="H8" s="10">
        <v>72.6666666666667</v>
      </c>
      <c r="I8" s="12" t="str">
        <f>VLOOKUP(A8,[1]体检入围人员!$D:$X,2,0)</f>
        <v>女</v>
      </c>
      <c r="J8" s="12" t="str">
        <f>VLOOKUP(A8,[1]体检入围人员!$D:$X,3,0)</f>
        <v>1995-08-29</v>
      </c>
      <c r="K8" s="12" t="str">
        <f>VLOOKUP(A8,[1]体检入围人员!$D:$X,7,0)</f>
        <v>新野县</v>
      </c>
      <c r="L8" s="12" t="str">
        <f>VLOOKUP(A8,[1]体检入围人员!$D:$X,11,0)</f>
        <v>2020.07</v>
      </c>
      <c r="M8" s="12" t="str">
        <f>VLOOKUP(A8,[1]体检入围人员!$D:$X,12,0)</f>
        <v>广西中医药大学赛恩斯新医药学院</v>
      </c>
      <c r="N8" s="12" t="str">
        <f>VLOOKUP(A8,[1]体检入围人员!$D:$X,13,0)</f>
        <v>本科</v>
      </c>
      <c r="O8" s="12" t="str">
        <f>VLOOKUP(A8,[1]体检入围人员!$D:$X,14,0)</f>
        <v>中医学</v>
      </c>
      <c r="P8" s="12" t="str">
        <f>VLOOKUP(A8,[1]体检入围人员!$D:$X,21,0)</f>
        <v>13087999387</v>
      </c>
      <c r="Q8" s="9" t="s">
        <v>30</v>
      </c>
    </row>
    <row r="9" s="1" customFormat="1" ht="28.8" hidden="1" customHeight="1" spans="1:17">
      <c r="A9" s="9" t="str">
        <f>"魏丹"</f>
        <v>魏丹</v>
      </c>
      <c r="B9" s="9"/>
      <c r="C9" s="9" t="str">
        <f t="shared" si="0"/>
        <v>2002</v>
      </c>
      <c r="D9" s="9" t="s">
        <v>29</v>
      </c>
      <c r="E9" s="10"/>
      <c r="F9" s="9">
        <v>3</v>
      </c>
      <c r="G9" s="10">
        <v>71.6666666666667</v>
      </c>
      <c r="H9" s="10">
        <v>71.6666666666667</v>
      </c>
      <c r="I9" s="12" t="str">
        <f>VLOOKUP(A9,[1]体检入围人员!$D:$X,2,0)</f>
        <v>女</v>
      </c>
      <c r="J9" s="12" t="str">
        <f>VLOOKUP(A9,[1]体检入围人员!$D:$X,3,0)</f>
        <v>1994-08-25</v>
      </c>
      <c r="K9" s="12" t="str">
        <f>VLOOKUP(A9,[1]体检入围人员!$D:$X,7,0)</f>
        <v>唐河县</v>
      </c>
      <c r="L9" s="12" t="str">
        <f>VLOOKUP(A9,[1]体检入围人员!$D:$X,11,0)</f>
        <v>2021.07</v>
      </c>
      <c r="M9" s="12" t="str">
        <f>VLOOKUP(A9,[1]体检入围人员!$D:$X,12,0)</f>
        <v>河南中医药大学</v>
      </c>
      <c r="N9" s="12" t="str">
        <f>VLOOKUP(A9,[1]体检入围人员!$D:$X,13,0)</f>
        <v>本科</v>
      </c>
      <c r="O9" s="12" t="str">
        <f>VLOOKUP(A9,[1]体检入围人员!$D:$X,14,0)</f>
        <v>中医学</v>
      </c>
      <c r="P9" s="12" t="str">
        <f>VLOOKUP(A9,[1]体检入围人员!$D:$X,21,0)</f>
        <v>15225618186</v>
      </c>
      <c r="Q9" s="9" t="s">
        <v>30</v>
      </c>
    </row>
    <row r="10" s="1" customFormat="1" ht="28.8" hidden="1" customHeight="1" spans="1:17">
      <c r="A10" s="9" t="str">
        <f>"吕祖鑫"</f>
        <v>吕祖鑫</v>
      </c>
      <c r="B10" s="9"/>
      <c r="C10" s="9" t="str">
        <f t="shared" si="0"/>
        <v>2002</v>
      </c>
      <c r="D10" s="9" t="s">
        <v>29</v>
      </c>
      <c r="E10" s="10"/>
      <c r="F10" s="9" t="s">
        <v>31</v>
      </c>
      <c r="G10" s="10"/>
      <c r="H10" s="10"/>
      <c r="I10" s="12" t="str">
        <f>VLOOKUP(A10,[1]体检入围人员!$D:$X,2,0)</f>
        <v>男</v>
      </c>
      <c r="J10" s="12" t="str">
        <f>VLOOKUP(A10,[1]体检入围人员!$D:$X,3,0)</f>
        <v>1998-03-18</v>
      </c>
      <c r="K10" s="12" t="str">
        <f>VLOOKUP(A10,[1]体检入围人员!$D:$X,7,0)</f>
        <v>宛城区</v>
      </c>
      <c r="L10" s="12" t="str">
        <f>VLOOKUP(A10,[1]体检入围人员!$D:$X,11,0)</f>
        <v>2022.07</v>
      </c>
      <c r="M10" s="12" t="str">
        <f>VLOOKUP(A10,[1]体检入围人员!$D:$X,12,0)</f>
        <v>河南中医药大学</v>
      </c>
      <c r="N10" s="12" t="str">
        <f>VLOOKUP(A10,[1]体检入围人员!$D:$X,13,0)</f>
        <v>本科</v>
      </c>
      <c r="O10" s="12" t="str">
        <f>VLOOKUP(A10,[1]体检入围人员!$D:$X,14,0)</f>
        <v>中西医临床医学</v>
      </c>
      <c r="P10" s="12" t="str">
        <f>VLOOKUP(A10,[1]体检入围人员!$D:$X,21,0)</f>
        <v>18317249965</v>
      </c>
      <c r="Q10" s="9" t="s">
        <v>30</v>
      </c>
    </row>
    <row r="11" s="1" customFormat="1" ht="27" spans="1:17">
      <c r="A11" s="9" t="str">
        <f>"邵敬亚"</f>
        <v>邵敬亚</v>
      </c>
      <c r="B11" s="9"/>
      <c r="C11" s="9" t="str">
        <f t="shared" ref="C11:C22" si="1">"2003"</f>
        <v>2003</v>
      </c>
      <c r="D11" s="9" t="s">
        <v>32</v>
      </c>
      <c r="E11" s="10"/>
      <c r="F11" s="9">
        <v>14</v>
      </c>
      <c r="G11" s="10">
        <v>82</v>
      </c>
      <c r="H11" s="11">
        <v>82</v>
      </c>
      <c r="I11" s="12" t="str">
        <f>VLOOKUP(A11,[1]体检入围人员!$D:$X,2,0)</f>
        <v>女</v>
      </c>
      <c r="J11" s="14" t="str">
        <f>VLOOKUP(A11,[1]体检入围人员!$D:$X,3,0)</f>
        <v>1997-04-14</v>
      </c>
      <c r="K11" s="12" t="str">
        <f>VLOOKUP(A11,[1]体检入围人员!$D:$X,7,0)</f>
        <v>新野县</v>
      </c>
      <c r="L11" s="12" t="str">
        <f>VLOOKUP(A11,[1]体检入围人员!$D:$X,11,0)</f>
        <v>2022.07</v>
      </c>
      <c r="M11" s="12" t="str">
        <f>VLOOKUP(A11,[1]体检入围人员!$D:$X,12,0)</f>
        <v>河南大学民生学院</v>
      </c>
      <c r="N11" s="12" t="str">
        <f>VLOOKUP(A11,[1]体检入围人员!$D:$X,13,0)</f>
        <v>本科</v>
      </c>
      <c r="O11" s="12" t="str">
        <f>VLOOKUP(A11,[1]体检入围人员!$D:$X,14,0)</f>
        <v>护理学</v>
      </c>
      <c r="P11" s="12" t="str">
        <f>VLOOKUP(A11,[1]体检入围人员!$D:$X,21,0)</f>
        <v>15837711849</v>
      </c>
      <c r="Q11" s="9" t="s">
        <v>30</v>
      </c>
    </row>
    <row r="12" s="1" customFormat="1" ht="27" spans="1:17">
      <c r="A12" s="9" t="str">
        <f>"赵寒"</f>
        <v>赵寒</v>
      </c>
      <c r="B12" s="9"/>
      <c r="C12" s="9" t="str">
        <f t="shared" si="1"/>
        <v>2003</v>
      </c>
      <c r="D12" s="9" t="s">
        <v>32</v>
      </c>
      <c r="E12" s="10"/>
      <c r="F12" s="9">
        <v>15</v>
      </c>
      <c r="G12" s="10">
        <v>78.3333333333333</v>
      </c>
      <c r="H12" s="11">
        <v>78.3333333333333</v>
      </c>
      <c r="I12" s="12" t="str">
        <f>VLOOKUP(A12,[1]体检入围人员!$D:$X,2,0)</f>
        <v>女</v>
      </c>
      <c r="J12" s="14" t="str">
        <f>VLOOKUP(A12,[1]体检入围人员!$D:$X,3,0)</f>
        <v>1998-01-01</v>
      </c>
      <c r="K12" s="12" t="str">
        <f>VLOOKUP(A12,[1]体检入围人员!$D:$X,7,0)</f>
        <v>新野</v>
      </c>
      <c r="L12" s="12" t="str">
        <f>VLOOKUP(A12,[1]体检入围人员!$D:$X,11,0)</f>
        <v>2019.07</v>
      </c>
      <c r="M12" s="12" t="str">
        <f>VLOOKUP(A12,[1]体检入围人员!$D:$X,12,0)</f>
        <v>郑州西亚斯学院</v>
      </c>
      <c r="N12" s="12" t="str">
        <f>VLOOKUP(A12,[1]体检入围人员!$D:$X,13,0)</f>
        <v>本科</v>
      </c>
      <c r="O12" s="12" t="str">
        <f>VLOOKUP(A12,[1]体检入围人员!$D:$X,14,0)</f>
        <v>护理学</v>
      </c>
      <c r="P12" s="12" t="str">
        <f>VLOOKUP(A12,[1]体检入围人员!$D:$X,21,0)</f>
        <v>15690849373</v>
      </c>
      <c r="Q12" s="9" t="s">
        <v>30</v>
      </c>
    </row>
    <row r="13" s="1" customFormat="1" ht="27" spans="1:17">
      <c r="A13" s="9" t="str">
        <f>"李娅"</f>
        <v>李娅</v>
      </c>
      <c r="B13" s="9"/>
      <c r="C13" s="9" t="str">
        <f t="shared" si="1"/>
        <v>2003</v>
      </c>
      <c r="D13" s="9" t="s">
        <v>32</v>
      </c>
      <c r="E13" s="10"/>
      <c r="F13" s="9">
        <v>8</v>
      </c>
      <c r="G13" s="10">
        <v>77.6666666666667</v>
      </c>
      <c r="H13" s="11">
        <v>77.6666666666667</v>
      </c>
      <c r="I13" s="12" t="str">
        <f>VLOOKUP(A13,[1]体检入围人员!$D:$X,2,0)</f>
        <v>女</v>
      </c>
      <c r="J13" s="14" t="str">
        <f>VLOOKUP(A13,[1]体检入围人员!$D:$X,3,0)</f>
        <v>1998-02-01</v>
      </c>
      <c r="K13" s="12" t="str">
        <f>VLOOKUP(A13,[1]体检入围人员!$D:$X,7,0)</f>
        <v>新野县</v>
      </c>
      <c r="L13" s="12" t="str">
        <f>VLOOKUP(A13,[1]体检入围人员!$D:$X,11,0)</f>
        <v>2022.07</v>
      </c>
      <c r="M13" s="12" t="str">
        <f>VLOOKUP(A13,[1]体检入围人员!$D:$X,12,0)</f>
        <v>郑州工业应用技术学院</v>
      </c>
      <c r="N13" s="12" t="str">
        <f>VLOOKUP(A13,[1]体检入围人员!$D:$X,13,0)</f>
        <v>本科</v>
      </c>
      <c r="O13" s="12" t="str">
        <f>VLOOKUP(A13,[1]体检入围人员!$D:$X,14,0)</f>
        <v>护理学</v>
      </c>
      <c r="P13" s="12" t="str">
        <f>VLOOKUP(A13,[1]体检入围人员!$D:$X,21,0)</f>
        <v>18237768958</v>
      </c>
      <c r="Q13" s="9" t="s">
        <v>30</v>
      </c>
    </row>
    <row r="14" s="1" customFormat="1" ht="27" spans="1:17">
      <c r="A14" s="9" t="str">
        <f>"齐嘉翾"</f>
        <v>齐嘉翾</v>
      </c>
      <c r="B14" s="9"/>
      <c r="C14" s="9" t="str">
        <f t="shared" si="1"/>
        <v>2003</v>
      </c>
      <c r="D14" s="9" t="s">
        <v>32</v>
      </c>
      <c r="E14" s="10"/>
      <c r="F14" s="9">
        <v>12</v>
      </c>
      <c r="G14" s="10">
        <v>77.3333333333333</v>
      </c>
      <c r="H14" s="11">
        <v>77.3333333333333</v>
      </c>
      <c r="I14" s="12" t="str">
        <f>VLOOKUP(A14,[1]体检入围人员!$D:$X,2,0)</f>
        <v>女</v>
      </c>
      <c r="J14" s="14" t="str">
        <f>VLOOKUP(A14,[1]体检入围人员!$D:$X,3,0)</f>
        <v>1997-02-05</v>
      </c>
      <c r="K14" s="12" t="str">
        <f>VLOOKUP(A14,[1]体检入围人员!$D:$X,7,0)</f>
        <v>新野县</v>
      </c>
      <c r="L14" s="12" t="str">
        <f>VLOOKUP(A14,[1]体检入围人员!$D:$X,11,0)</f>
        <v>2021.07</v>
      </c>
      <c r="M14" s="12" t="str">
        <f>VLOOKUP(A14,[1]体检入围人员!$D:$X,12,0)</f>
        <v>河南大学民生学院</v>
      </c>
      <c r="N14" s="12" t="str">
        <f>VLOOKUP(A14,[1]体检入围人员!$D:$X,13,0)</f>
        <v>本科</v>
      </c>
      <c r="O14" s="12" t="str">
        <f>VLOOKUP(A14,[1]体检入围人员!$D:$X,14,0)</f>
        <v>护理学</v>
      </c>
      <c r="P14" s="12" t="str">
        <f>VLOOKUP(A14,[1]体检入围人员!$D:$X,21,0)</f>
        <v>13461979536</v>
      </c>
      <c r="Q14" s="9" t="s">
        <v>30</v>
      </c>
    </row>
    <row r="15" s="1" customFormat="1" ht="28.8" hidden="1" customHeight="1" spans="1:17">
      <c r="A15" s="9" t="str">
        <f>"吴旭晖"</f>
        <v>吴旭晖</v>
      </c>
      <c r="B15" s="9"/>
      <c r="C15" s="9" t="str">
        <f t="shared" si="1"/>
        <v>2003</v>
      </c>
      <c r="D15" s="9" t="s">
        <v>32</v>
      </c>
      <c r="E15" s="10"/>
      <c r="F15" s="9">
        <v>17</v>
      </c>
      <c r="G15" s="10">
        <v>76.6666666666667</v>
      </c>
      <c r="H15" s="10">
        <v>76.6666666666667</v>
      </c>
      <c r="I15" s="12" t="str">
        <f>VLOOKUP(A15,[1]体检入围人员!$D:$X,2,0)</f>
        <v>女</v>
      </c>
      <c r="J15" s="12" t="str">
        <f>VLOOKUP(A15,[1]体检入围人员!$D:$X,3,0)</f>
        <v>1998-10-05</v>
      </c>
      <c r="K15" s="12" t="str">
        <f>VLOOKUP(A15,[1]体检入围人员!$D:$X,7,0)</f>
        <v>新野县</v>
      </c>
      <c r="L15" s="12" t="str">
        <f>VLOOKUP(A15,[1]体检入围人员!$D:$X,11,0)</f>
        <v>2022.07</v>
      </c>
      <c r="M15" s="12" t="str">
        <f>VLOOKUP(A15,[1]体检入围人员!$D:$X,12,0)</f>
        <v>河南科技职业大学</v>
      </c>
      <c r="N15" s="12" t="str">
        <f>VLOOKUP(A15,[1]体检入围人员!$D:$X,13,0)</f>
        <v>本科</v>
      </c>
      <c r="O15" s="12" t="str">
        <f>VLOOKUP(A15,[1]体检入围人员!$D:$X,14,0)</f>
        <v>护理</v>
      </c>
      <c r="P15" s="12" t="str">
        <f>VLOOKUP(A15,[1]体检入围人员!$D:$X,21,0)</f>
        <v>19937713256</v>
      </c>
      <c r="Q15" s="9" t="s">
        <v>30</v>
      </c>
    </row>
    <row r="16" s="1" customFormat="1" ht="28.8" hidden="1" customHeight="1" spans="1:17">
      <c r="A16" s="9" t="str">
        <f>"张素"</f>
        <v>张素</v>
      </c>
      <c r="B16" s="9"/>
      <c r="C16" s="9" t="str">
        <f t="shared" si="1"/>
        <v>2003</v>
      </c>
      <c r="D16" s="9" t="s">
        <v>32</v>
      </c>
      <c r="E16" s="10"/>
      <c r="F16" s="9">
        <v>11</v>
      </c>
      <c r="G16" s="10">
        <v>76</v>
      </c>
      <c r="H16" s="10">
        <v>76</v>
      </c>
      <c r="I16" s="12" t="str">
        <f>VLOOKUP(A16,[1]体检入围人员!$D:$X,2,0)</f>
        <v>女</v>
      </c>
      <c r="J16" s="12" t="str">
        <f>VLOOKUP(A16,[1]体检入围人员!$D:$X,3,0)</f>
        <v>1997-09-27</v>
      </c>
      <c r="K16" s="12" t="str">
        <f>VLOOKUP(A16,[1]体检入围人员!$D:$X,7,0)</f>
        <v>新野县</v>
      </c>
      <c r="L16" s="12" t="str">
        <f>VLOOKUP(A16,[1]体检入围人员!$D:$X,11,0)</f>
        <v>2020.07</v>
      </c>
      <c r="M16" s="12" t="str">
        <f>VLOOKUP(A16,[1]体检入围人员!$D:$X,12,0)</f>
        <v>商丘工学院</v>
      </c>
      <c r="N16" s="12" t="str">
        <f>VLOOKUP(A16,[1]体检入围人员!$D:$X,13,0)</f>
        <v>本科</v>
      </c>
      <c r="O16" s="12" t="str">
        <f>VLOOKUP(A16,[1]体检入围人员!$D:$X,14,0)</f>
        <v>护理学</v>
      </c>
      <c r="P16" s="12" t="str">
        <f>VLOOKUP(A16,[1]体检入围人员!$D:$X,21,0)</f>
        <v>17737066519</v>
      </c>
      <c r="Q16" s="9" t="s">
        <v>30</v>
      </c>
    </row>
    <row r="17" s="1" customFormat="1" ht="28.8" hidden="1" customHeight="1" spans="1:17">
      <c r="A17" s="9" t="str">
        <f>"翁娜"</f>
        <v>翁娜</v>
      </c>
      <c r="B17" s="9"/>
      <c r="C17" s="9" t="str">
        <f t="shared" si="1"/>
        <v>2003</v>
      </c>
      <c r="D17" s="9" t="s">
        <v>32</v>
      </c>
      <c r="E17" s="10"/>
      <c r="F17" s="9">
        <v>18</v>
      </c>
      <c r="G17" s="10">
        <v>76</v>
      </c>
      <c r="H17" s="10">
        <v>76</v>
      </c>
      <c r="I17" s="12" t="str">
        <f>VLOOKUP(A17,[1]体检入围人员!$D:$X,2,0)</f>
        <v>女</v>
      </c>
      <c r="J17" s="12" t="str">
        <f>VLOOKUP(A17,[1]体检入围人员!$D:$X,3,0)</f>
        <v>2000-01-06</v>
      </c>
      <c r="K17" s="12" t="str">
        <f>VLOOKUP(A17,[1]体检入围人员!$D:$X,7,0)</f>
        <v>新野县</v>
      </c>
      <c r="L17" s="12" t="str">
        <f>VLOOKUP(A17,[1]体检入围人员!$D:$X,11,0)</f>
        <v>2022.07</v>
      </c>
      <c r="M17" s="12" t="str">
        <f>VLOOKUP(A17,[1]体检入围人员!$D:$X,12,0)</f>
        <v>平顶山学院</v>
      </c>
      <c r="N17" s="12" t="str">
        <f>VLOOKUP(A17,[1]体检入围人员!$D:$X,13,0)</f>
        <v>本科</v>
      </c>
      <c r="O17" s="12" t="str">
        <f>VLOOKUP(A17,[1]体检入围人员!$D:$X,14,0)</f>
        <v>护理学</v>
      </c>
      <c r="P17" s="12" t="str">
        <f>VLOOKUP(A17,[1]体检入围人员!$D:$X,21,0)</f>
        <v>17513176125</v>
      </c>
      <c r="Q17" s="9" t="s">
        <v>30</v>
      </c>
    </row>
    <row r="18" s="1" customFormat="1" ht="28.8" hidden="1" customHeight="1" spans="1:17">
      <c r="A18" s="9" t="str">
        <f>"樊露露"</f>
        <v>樊露露</v>
      </c>
      <c r="B18" s="9"/>
      <c r="C18" s="9" t="str">
        <f t="shared" si="1"/>
        <v>2003</v>
      </c>
      <c r="D18" s="9" t="s">
        <v>32</v>
      </c>
      <c r="E18" s="10"/>
      <c r="F18" s="9">
        <v>16</v>
      </c>
      <c r="G18" s="10">
        <v>75.6666666666667</v>
      </c>
      <c r="H18" s="10">
        <v>75.6666666666667</v>
      </c>
      <c r="I18" s="12" t="str">
        <f>VLOOKUP(A18,[1]体检入围人员!$D:$X,2,0)</f>
        <v>女</v>
      </c>
      <c r="J18" s="12" t="str">
        <f>VLOOKUP(A18,[1]体检入围人员!$D:$X,3,0)</f>
        <v>1998-08-12</v>
      </c>
      <c r="K18" s="12" t="str">
        <f>VLOOKUP(A18,[1]体检入围人员!$D:$X,7,0)</f>
        <v>新野</v>
      </c>
      <c r="L18" s="12" t="str">
        <f>VLOOKUP(A18,[1]体检入围人员!$D:$X,11,0)</f>
        <v>2021.07</v>
      </c>
      <c r="M18" s="12" t="str">
        <f>VLOOKUP(A18,[1]体检入围人员!$D:$X,12,0)</f>
        <v>辽东学院</v>
      </c>
      <c r="N18" s="12" t="str">
        <f>VLOOKUP(A18,[1]体检入围人员!$D:$X,13,0)</f>
        <v>本科</v>
      </c>
      <c r="O18" s="12" t="str">
        <f>VLOOKUP(A18,[1]体检入围人员!$D:$X,14,0)</f>
        <v>护理学</v>
      </c>
      <c r="P18" s="12" t="str">
        <f>VLOOKUP(A18,[1]体检入围人员!$D:$X,21,0)</f>
        <v>13719364817</v>
      </c>
      <c r="Q18" s="9" t="s">
        <v>30</v>
      </c>
    </row>
    <row r="19" s="1" customFormat="1" ht="28.8" hidden="1" customHeight="1" spans="1:17">
      <c r="A19" s="9" t="str">
        <f>"冯晓琦"</f>
        <v>冯晓琦</v>
      </c>
      <c r="B19" s="9"/>
      <c r="C19" s="9" t="str">
        <f t="shared" si="1"/>
        <v>2003</v>
      </c>
      <c r="D19" s="9" t="s">
        <v>32</v>
      </c>
      <c r="E19" s="10"/>
      <c r="F19" s="9">
        <v>10</v>
      </c>
      <c r="G19" s="10">
        <v>74</v>
      </c>
      <c r="H19" s="10">
        <v>74</v>
      </c>
      <c r="I19" s="12" t="str">
        <f>VLOOKUP(A19,[1]体检入围人员!$D:$X,2,0)</f>
        <v>女</v>
      </c>
      <c r="J19" s="12" t="str">
        <f>VLOOKUP(A19,[1]体检入围人员!$D:$X,3,0)</f>
        <v>1998-02-03</v>
      </c>
      <c r="K19" s="12" t="str">
        <f>VLOOKUP(A19,[1]体检入围人员!$D:$X,7,0)</f>
        <v>宛城区</v>
      </c>
      <c r="L19" s="12" t="str">
        <f>VLOOKUP(A19,[1]体检入围人员!$D:$X,11,0)</f>
        <v>2021.07</v>
      </c>
      <c r="M19" s="12" t="str">
        <f>VLOOKUP(A19,[1]体检入围人员!$D:$X,12,0)</f>
        <v>河南科技大学</v>
      </c>
      <c r="N19" s="12" t="str">
        <f>VLOOKUP(A19,[1]体检入围人员!$D:$X,13,0)</f>
        <v>本科</v>
      </c>
      <c r="O19" s="12" t="str">
        <f>VLOOKUP(A19,[1]体检入围人员!$D:$X,14,0)</f>
        <v>护理学</v>
      </c>
      <c r="P19" s="12" t="str">
        <f>VLOOKUP(A19,[1]体检入围人员!$D:$X,21,0)</f>
        <v>18337703825</v>
      </c>
      <c r="Q19" s="9" t="s">
        <v>30</v>
      </c>
    </row>
    <row r="20" s="1" customFormat="1" ht="28.8" hidden="1" customHeight="1" spans="1:17">
      <c r="A20" s="9" t="str">
        <f>"张峥"</f>
        <v>张峥</v>
      </c>
      <c r="B20" s="9"/>
      <c r="C20" s="9" t="str">
        <f t="shared" si="1"/>
        <v>2003</v>
      </c>
      <c r="D20" s="9" t="s">
        <v>32</v>
      </c>
      <c r="E20" s="10"/>
      <c r="F20" s="9">
        <v>13</v>
      </c>
      <c r="G20" s="10">
        <v>71</v>
      </c>
      <c r="H20" s="10">
        <v>71</v>
      </c>
      <c r="I20" s="12" t="str">
        <f>VLOOKUP(A20,[1]体检入围人员!$D:$X,2,0)</f>
        <v>女</v>
      </c>
      <c r="J20" s="12" t="str">
        <f>VLOOKUP(A20,[1]体检入围人员!$D:$X,3,0)</f>
        <v>1998-03-05</v>
      </c>
      <c r="K20" s="12" t="str">
        <f>VLOOKUP(A20,[1]体检入围人员!$D:$X,7,0)</f>
        <v>新野县</v>
      </c>
      <c r="L20" s="12" t="str">
        <f>VLOOKUP(A20,[1]体检入围人员!$D:$X,11,0)</f>
        <v>2020.07</v>
      </c>
      <c r="M20" s="12" t="str">
        <f>VLOOKUP(A20,[1]体检入围人员!$D:$X,12,0)</f>
        <v>郑州工业应用技术学院</v>
      </c>
      <c r="N20" s="12" t="str">
        <f>VLOOKUP(A20,[1]体检入围人员!$D:$X,13,0)</f>
        <v>本科</v>
      </c>
      <c r="O20" s="12" t="str">
        <f>VLOOKUP(A20,[1]体检入围人员!$D:$X,14,0)</f>
        <v>护理学</v>
      </c>
      <c r="P20" s="12" t="str">
        <f>VLOOKUP(A20,[1]体检入围人员!$D:$X,21,0)</f>
        <v>18236159375</v>
      </c>
      <c r="Q20" s="9" t="s">
        <v>30</v>
      </c>
    </row>
    <row r="21" s="1" customFormat="1" ht="28.8" hidden="1" customHeight="1" spans="1:17">
      <c r="A21" s="9" t="str">
        <f>"陶杨"</f>
        <v>陶杨</v>
      </c>
      <c r="B21" s="9"/>
      <c r="C21" s="9" t="str">
        <f t="shared" si="1"/>
        <v>2003</v>
      </c>
      <c r="D21" s="9" t="s">
        <v>32</v>
      </c>
      <c r="E21" s="10"/>
      <c r="F21" s="9">
        <v>9</v>
      </c>
      <c r="G21" s="10">
        <v>70.3333333333333</v>
      </c>
      <c r="H21" s="10">
        <v>70.3333333333333</v>
      </c>
      <c r="I21" s="12" t="str">
        <f>VLOOKUP(A21,[1]体检入围人员!$D:$X,2,0)</f>
        <v>男</v>
      </c>
      <c r="J21" s="12" t="str">
        <f>VLOOKUP(A21,[1]体检入围人员!$D:$X,3,0)</f>
        <v>1998-04-26</v>
      </c>
      <c r="K21" s="12" t="str">
        <f>VLOOKUP(A21,[1]体检入围人员!$D:$X,7,0)</f>
        <v>新野</v>
      </c>
      <c r="L21" s="12" t="str">
        <f>VLOOKUP(A21,[1]体检入围人员!$D:$X,11,0)</f>
        <v>2020.7</v>
      </c>
      <c r="M21" s="12" t="str">
        <f>VLOOKUP(A21,[1]体检入围人员!$D:$X,12,0)</f>
        <v>新乡医学院三全学院</v>
      </c>
      <c r="N21" s="12" t="str">
        <f>VLOOKUP(A21,[1]体检入围人员!$D:$X,13,0)</f>
        <v>本科</v>
      </c>
      <c r="O21" s="12" t="str">
        <f>VLOOKUP(A21,[1]体检入围人员!$D:$X,14,0)</f>
        <v>护理学</v>
      </c>
      <c r="P21" s="12" t="str">
        <f>VLOOKUP(A21,[1]体检入围人员!$D:$X,21,0)</f>
        <v>15993077620</v>
      </c>
      <c r="Q21" s="9" t="s">
        <v>30</v>
      </c>
    </row>
    <row r="22" s="1" customFormat="1" ht="28.8" hidden="1" customHeight="1" spans="1:17">
      <c r="A22" s="9" t="str">
        <f>"李晓燕"</f>
        <v>李晓燕</v>
      </c>
      <c r="B22" s="9"/>
      <c r="C22" s="9" t="str">
        <f t="shared" si="1"/>
        <v>2003</v>
      </c>
      <c r="D22" s="9" t="s">
        <v>32</v>
      </c>
      <c r="E22" s="10"/>
      <c r="F22" s="9" t="s">
        <v>31</v>
      </c>
      <c r="G22" s="10"/>
      <c r="H22" s="10"/>
      <c r="I22" s="12" t="str">
        <f>VLOOKUP(A22,[1]体检入围人员!$D:$X,2,0)</f>
        <v>女</v>
      </c>
      <c r="J22" s="12" t="str">
        <f>VLOOKUP(A22,[1]体检入围人员!$D:$X,3,0)</f>
        <v>1999-02-03</v>
      </c>
      <c r="K22" s="12" t="str">
        <f>VLOOKUP(A22,[1]体检入围人员!$D:$X,7,0)</f>
        <v>新野县</v>
      </c>
      <c r="L22" s="12" t="str">
        <f>VLOOKUP(A22,[1]体检入围人员!$D:$X,11,0)</f>
        <v>2022.07</v>
      </c>
      <c r="M22" s="12" t="str">
        <f>VLOOKUP(A22,[1]体检入围人员!$D:$X,12,0)</f>
        <v>郑州工业应用技术学院</v>
      </c>
      <c r="N22" s="12" t="str">
        <f>VLOOKUP(A22,[1]体检入围人员!$D:$X,13,0)</f>
        <v>本科</v>
      </c>
      <c r="O22" s="12" t="str">
        <f>VLOOKUP(A22,[1]体检入围人员!$D:$X,14,0)</f>
        <v>护理</v>
      </c>
      <c r="P22" s="12" t="str">
        <f>VLOOKUP(A22,[1]体检入围人员!$D:$X,21,0)</f>
        <v>18237748473</v>
      </c>
      <c r="Q22" s="9" t="s">
        <v>30</v>
      </c>
    </row>
    <row r="23" s="1" customFormat="1" ht="27" spans="1:17">
      <c r="A23" s="9" t="str">
        <f>"黄金迪"</f>
        <v>黄金迪</v>
      </c>
      <c r="B23" s="9" t="s">
        <v>33</v>
      </c>
      <c r="C23" s="9" t="str">
        <f t="shared" ref="C23:C37" si="2">"2005"</f>
        <v>2005</v>
      </c>
      <c r="D23" s="9" t="s">
        <v>34</v>
      </c>
      <c r="E23" s="10">
        <v>75.9</v>
      </c>
      <c r="F23" s="9">
        <v>17</v>
      </c>
      <c r="G23" s="10">
        <v>84.3333333333333</v>
      </c>
      <c r="H23" s="11">
        <f t="shared" ref="H23:H35" si="3">E23*0.6+G23*0.4</f>
        <v>79.2733333333333</v>
      </c>
      <c r="I23" s="12" t="str">
        <f>VLOOKUP(A23,[1]体检入围人员!$D:$X,2,0)</f>
        <v>女</v>
      </c>
      <c r="J23" s="14" t="str">
        <f>VLOOKUP(A23,[1]体检入围人员!$D:$X,3,0)</f>
        <v>1999-05-31</v>
      </c>
      <c r="K23" s="12" t="str">
        <f>VLOOKUP(A23,[1]体检入围人员!$D:$X,7,0)</f>
        <v>新野县</v>
      </c>
      <c r="L23" s="12" t="str">
        <f>VLOOKUP(A23,[1]体检入围人员!$D:$X,11,0)</f>
        <v>2022·07</v>
      </c>
      <c r="M23" s="12" t="str">
        <f>VLOOKUP(A23,[1]体检入围人员!$D:$X,12,0)</f>
        <v>新乡医学院三全学院</v>
      </c>
      <c r="N23" s="12" t="str">
        <f>VLOOKUP(A23,[1]体检入围人员!$D:$X,13,0)</f>
        <v>本科</v>
      </c>
      <c r="O23" s="12" t="str">
        <f>VLOOKUP(A23,[1]体检入围人员!$D:$X,14,0)</f>
        <v>医学影像技术</v>
      </c>
      <c r="P23" s="12" t="str">
        <f>VLOOKUP(A23,[1]体检入围人员!$D:$X,21,0)</f>
        <v>18438892633</v>
      </c>
      <c r="Q23" s="18"/>
    </row>
    <row r="24" s="1" customFormat="1" ht="27" spans="1:17">
      <c r="A24" s="9" t="str">
        <f>"王硕"</f>
        <v>王硕</v>
      </c>
      <c r="B24" s="9" t="s">
        <v>35</v>
      </c>
      <c r="C24" s="9" t="str">
        <f t="shared" si="2"/>
        <v>2005</v>
      </c>
      <c r="D24" s="9" t="s">
        <v>34</v>
      </c>
      <c r="E24" s="10">
        <v>70.05</v>
      </c>
      <c r="F24" s="9">
        <v>4</v>
      </c>
      <c r="G24" s="10">
        <v>84.3333333333333</v>
      </c>
      <c r="H24" s="11">
        <f t="shared" si="3"/>
        <v>75.7633333333333</v>
      </c>
      <c r="I24" s="12" t="str">
        <f>VLOOKUP(A24,[1]体检入围人员!$D:$X,2,0)</f>
        <v>男</v>
      </c>
      <c r="J24" s="14" t="str">
        <f>VLOOKUP(A24,[1]体检入围人员!$D:$X,3,0)</f>
        <v>1998-10-19</v>
      </c>
      <c r="K24" s="12" t="str">
        <f>VLOOKUP(A24,[1]体检入围人员!$D:$X,7,0)</f>
        <v>新野县</v>
      </c>
      <c r="L24" s="12" t="str">
        <f>VLOOKUP(A24,[1]体检入围人员!$D:$X,11,0)</f>
        <v>2022.07</v>
      </c>
      <c r="M24" s="12" t="str">
        <f>VLOOKUP(A24,[1]体检入围人员!$D:$X,12,0)</f>
        <v>新乡医学院三全学院</v>
      </c>
      <c r="N24" s="12" t="str">
        <f>VLOOKUP(A24,[1]体检入围人员!$D:$X,13,0)</f>
        <v>本科</v>
      </c>
      <c r="O24" s="12" t="str">
        <f>VLOOKUP(A24,[1]体检入围人员!$D:$X,14,0)</f>
        <v>医学影像技术</v>
      </c>
      <c r="P24" s="12" t="str">
        <f>VLOOKUP(A24,[1]体检入围人员!$D:$X,21,0)</f>
        <v>17503772110</v>
      </c>
      <c r="Q24" s="18"/>
    </row>
    <row r="25" s="1" customFormat="1" ht="27" spans="1:17">
      <c r="A25" s="9" t="str">
        <f>"王汉平"</f>
        <v>王汉平</v>
      </c>
      <c r="B25" s="9" t="s">
        <v>36</v>
      </c>
      <c r="C25" s="9" t="str">
        <f t="shared" si="2"/>
        <v>2005</v>
      </c>
      <c r="D25" s="9" t="s">
        <v>34</v>
      </c>
      <c r="E25" s="10">
        <v>69.65</v>
      </c>
      <c r="F25" s="9">
        <v>13</v>
      </c>
      <c r="G25" s="10">
        <v>76.3333333333333</v>
      </c>
      <c r="H25" s="11">
        <f t="shared" si="3"/>
        <v>72.3233333333333</v>
      </c>
      <c r="I25" s="12" t="str">
        <f>VLOOKUP(A25,[1]体检入围人员!$D:$X,2,0)</f>
        <v>男</v>
      </c>
      <c r="J25" s="14" t="str">
        <f>VLOOKUP(A25,[1]体检入围人员!$D:$X,3,0)</f>
        <v>1999-10-23</v>
      </c>
      <c r="K25" s="12" t="str">
        <f>VLOOKUP(A25,[1]体检入围人员!$D:$X,7,0)</f>
        <v>社旗县</v>
      </c>
      <c r="L25" s="12" t="str">
        <f>VLOOKUP(A25,[1]体检入围人员!$D:$X,11,0)</f>
        <v>2022.07</v>
      </c>
      <c r="M25" s="12" t="str">
        <f>VLOOKUP(A25,[1]体检入围人员!$D:$X,12,0)</f>
        <v>新乡医学院三全学院</v>
      </c>
      <c r="N25" s="12" t="str">
        <f>VLOOKUP(A25,[1]体检入围人员!$D:$X,13,0)</f>
        <v>本科</v>
      </c>
      <c r="O25" s="12" t="str">
        <f>VLOOKUP(A25,[1]体检入围人员!$D:$X,14,0)</f>
        <v>医学影像技术</v>
      </c>
      <c r="P25" s="12" t="str">
        <f>VLOOKUP(A25,[1]体检入围人员!$D:$X,21,0)</f>
        <v>13569234567</v>
      </c>
      <c r="Q25" s="18"/>
    </row>
    <row r="26" s="1" customFormat="1" ht="27" spans="1:17">
      <c r="A26" s="9" t="str">
        <f>"白莹"</f>
        <v>白莹</v>
      </c>
      <c r="B26" s="9" t="s">
        <v>37</v>
      </c>
      <c r="C26" s="9" t="str">
        <f t="shared" si="2"/>
        <v>2005</v>
      </c>
      <c r="D26" s="9" t="s">
        <v>34</v>
      </c>
      <c r="E26" s="10">
        <v>65.2</v>
      </c>
      <c r="F26" s="9">
        <v>21</v>
      </c>
      <c r="G26" s="10">
        <v>78</v>
      </c>
      <c r="H26" s="11">
        <f t="shared" si="3"/>
        <v>70.32</v>
      </c>
      <c r="I26" s="12" t="str">
        <f>VLOOKUP(A26,[1]体检入围人员!$D:$X,2,0)</f>
        <v>女</v>
      </c>
      <c r="J26" s="14" t="str">
        <f>VLOOKUP(A26,[1]体检入围人员!$D:$X,3,0)</f>
        <v>1997-10-23</v>
      </c>
      <c r="K26" s="12" t="str">
        <f>VLOOKUP(A26,[1]体检入围人员!$D:$X,7,0)</f>
        <v>新野县</v>
      </c>
      <c r="L26" s="12" t="str">
        <f>VLOOKUP(A26,[1]体检入围人员!$D:$X,11,0)</f>
        <v>2020.07.01</v>
      </c>
      <c r="M26" s="12" t="str">
        <f>VLOOKUP(A26,[1]体检入围人员!$D:$X,12,0)</f>
        <v>新乡医学院三全学院</v>
      </c>
      <c r="N26" s="12" t="str">
        <f>VLOOKUP(A26,[1]体检入围人员!$D:$X,13,0)</f>
        <v>本科</v>
      </c>
      <c r="O26" s="12" t="str">
        <f>VLOOKUP(A26,[1]体检入围人员!$D:$X,14,0)</f>
        <v>医学影像技术</v>
      </c>
      <c r="P26" s="12" t="str">
        <f>VLOOKUP(A26,[1]体检入围人员!$D:$X,21,0)</f>
        <v>15236096817</v>
      </c>
      <c r="Q26" s="18"/>
    </row>
    <row r="27" s="1" customFormat="1" ht="27" spans="1:17">
      <c r="A27" s="9" t="str">
        <f>"杨晓培"</f>
        <v>杨晓培</v>
      </c>
      <c r="B27" s="9" t="s">
        <v>38</v>
      </c>
      <c r="C27" s="9" t="str">
        <f t="shared" si="2"/>
        <v>2005</v>
      </c>
      <c r="D27" s="9" t="s">
        <v>34</v>
      </c>
      <c r="E27" s="10">
        <v>62.05</v>
      </c>
      <c r="F27" s="9">
        <v>14</v>
      </c>
      <c r="G27" s="10">
        <v>80</v>
      </c>
      <c r="H27" s="11">
        <f t="shared" si="3"/>
        <v>69.23</v>
      </c>
      <c r="I27" s="12" t="str">
        <f>VLOOKUP(A27,[1]体检入围人员!$D:$X,2,0)</f>
        <v>女</v>
      </c>
      <c r="J27" s="14" t="str">
        <f>VLOOKUP(A27,[1]体检入围人员!$D:$X,3,0)</f>
        <v>1998-09-20</v>
      </c>
      <c r="K27" s="12" t="str">
        <f>VLOOKUP(A27,[1]体检入围人员!$D:$X,7,0)</f>
        <v>新野</v>
      </c>
      <c r="L27" s="12" t="str">
        <f>VLOOKUP(A27,[1]体检入围人员!$D:$X,11,0)</f>
        <v>2021.07</v>
      </c>
      <c r="M27" s="12" t="str">
        <f>VLOOKUP(A27,[1]体检入围人员!$D:$X,12,0)</f>
        <v>新乡医学院三全学院</v>
      </c>
      <c r="N27" s="12" t="str">
        <f>VLOOKUP(A27,[1]体检入围人员!$D:$X,13,0)</f>
        <v>本科</v>
      </c>
      <c r="O27" s="12" t="str">
        <f>VLOOKUP(A27,[1]体检入围人员!$D:$X,14,0)</f>
        <v>医学影像技术</v>
      </c>
      <c r="P27" s="12" t="str">
        <f>VLOOKUP(A27,[1]体检入围人员!$D:$X,21,0)</f>
        <v>18939223661</v>
      </c>
      <c r="Q27" s="18"/>
    </row>
    <row r="28" s="1" customFormat="1" ht="28.8" hidden="1" customHeight="1" spans="1:17">
      <c r="A28" s="9" t="str">
        <f>"贾腾飞"</f>
        <v>贾腾飞</v>
      </c>
      <c r="B28" s="9" t="s">
        <v>39</v>
      </c>
      <c r="C28" s="9" t="str">
        <f t="shared" si="2"/>
        <v>2005</v>
      </c>
      <c r="D28" s="9" t="s">
        <v>34</v>
      </c>
      <c r="E28" s="10">
        <v>66.3</v>
      </c>
      <c r="F28" s="9">
        <v>11</v>
      </c>
      <c r="G28" s="10">
        <v>69.3333333333333</v>
      </c>
      <c r="H28" s="10">
        <f t="shared" si="3"/>
        <v>67.5133333333333</v>
      </c>
      <c r="I28" s="12" t="str">
        <f>VLOOKUP(A28,[1]体检入围人员!$D:$X,2,0)</f>
        <v>男</v>
      </c>
      <c r="J28" s="12" t="str">
        <f>VLOOKUP(A28,[1]体检入围人员!$D:$X,3,0)</f>
        <v>1997-10-13</v>
      </c>
      <c r="K28" s="12" t="str">
        <f>VLOOKUP(A28,[1]体检入围人员!$D:$X,7,0)</f>
        <v>西峡县</v>
      </c>
      <c r="L28" s="12" t="str">
        <f>VLOOKUP(A28,[1]体检入围人员!$D:$X,11,0)</f>
        <v>2022.07</v>
      </c>
      <c r="M28" s="12" t="str">
        <f>VLOOKUP(A28,[1]体检入围人员!$D:$X,12,0)</f>
        <v>牡丹江医学院</v>
      </c>
      <c r="N28" s="12" t="str">
        <f>VLOOKUP(A28,[1]体检入围人员!$D:$X,13,0)</f>
        <v>本科</v>
      </c>
      <c r="O28" s="12" t="str">
        <f>VLOOKUP(A28,[1]体检入围人员!$D:$X,14,0)</f>
        <v>医学影像学</v>
      </c>
      <c r="P28" s="12" t="str">
        <f>VLOOKUP(A28,[1]体检入围人员!$D:$X,21,0)</f>
        <v>18736512065</v>
      </c>
      <c r="Q28" s="18"/>
    </row>
    <row r="29" s="1" customFormat="1" ht="28.8" hidden="1" customHeight="1" spans="1:17">
      <c r="A29" s="9" t="str">
        <f>"陶梦馨"</f>
        <v>陶梦馨</v>
      </c>
      <c r="B29" s="9" t="s">
        <v>40</v>
      </c>
      <c r="C29" s="9" t="str">
        <f t="shared" si="2"/>
        <v>2005</v>
      </c>
      <c r="D29" s="9" t="s">
        <v>34</v>
      </c>
      <c r="E29" s="10">
        <v>61.75</v>
      </c>
      <c r="F29" s="9">
        <v>15</v>
      </c>
      <c r="G29" s="10">
        <v>75</v>
      </c>
      <c r="H29" s="10">
        <f t="shared" si="3"/>
        <v>67.05</v>
      </c>
      <c r="I29" s="12" t="str">
        <f>VLOOKUP(A29,[1]体检入围人员!$D:$X,2,0)</f>
        <v>女</v>
      </c>
      <c r="J29" s="12" t="str">
        <f>VLOOKUP(A29,[1]体检入围人员!$D:$X,3,0)</f>
        <v>2000-09-20</v>
      </c>
      <c r="K29" s="12" t="str">
        <f>VLOOKUP(A29,[1]体检入围人员!$D:$X,7,0)</f>
        <v>新野县</v>
      </c>
      <c r="L29" s="12" t="str">
        <f>VLOOKUP(A29,[1]体检入围人员!$D:$X,11,0)</f>
        <v>2022.06</v>
      </c>
      <c r="M29" s="12" t="str">
        <f>VLOOKUP(A29,[1]体检入围人员!$D:$X,12,0)</f>
        <v>河南科技大学</v>
      </c>
      <c r="N29" s="12" t="str">
        <f>VLOOKUP(A29,[1]体检入围人员!$D:$X,13,0)</f>
        <v>本科</v>
      </c>
      <c r="O29" s="12" t="str">
        <f>VLOOKUP(A29,[1]体检入围人员!$D:$X,14,0)</f>
        <v>医学影像技术</v>
      </c>
      <c r="P29" s="12" t="str">
        <f>VLOOKUP(A29,[1]体检入围人员!$D:$X,21,0)</f>
        <v>15237753644</v>
      </c>
      <c r="Q29" s="18"/>
    </row>
    <row r="30" s="1" customFormat="1" ht="28.8" hidden="1" customHeight="1" spans="1:17">
      <c r="A30" s="9" t="str">
        <f>"李丰"</f>
        <v>李丰</v>
      </c>
      <c r="B30" s="9" t="s">
        <v>41</v>
      </c>
      <c r="C30" s="9" t="str">
        <f t="shared" si="2"/>
        <v>2005</v>
      </c>
      <c r="D30" s="9" t="s">
        <v>34</v>
      </c>
      <c r="E30" s="10">
        <v>59.25</v>
      </c>
      <c r="F30" s="9">
        <v>1</v>
      </c>
      <c r="G30" s="10">
        <v>75.3333333333333</v>
      </c>
      <c r="H30" s="10">
        <f t="shared" si="3"/>
        <v>65.6833333333333</v>
      </c>
      <c r="I30" s="12" t="str">
        <f>VLOOKUP(A30,[1]体检入围人员!$D:$X,2,0)</f>
        <v>男</v>
      </c>
      <c r="J30" s="12" t="str">
        <f>VLOOKUP(A30,[1]体检入围人员!$D:$X,3,0)</f>
        <v>1997-10-22</v>
      </c>
      <c r="K30" s="12" t="str">
        <f>VLOOKUP(A30,[1]体检入围人员!$D:$X,7,0)</f>
        <v>新野县</v>
      </c>
      <c r="L30" s="12" t="str">
        <f>VLOOKUP(A30,[1]体检入围人员!$D:$X,11,0)</f>
        <v>2021.07</v>
      </c>
      <c r="M30" s="12" t="str">
        <f>VLOOKUP(A30,[1]体检入围人员!$D:$X,12,0)</f>
        <v>新乡医学院三全学院</v>
      </c>
      <c r="N30" s="12" t="str">
        <f>VLOOKUP(A30,[1]体检入围人员!$D:$X,13,0)</f>
        <v>本科</v>
      </c>
      <c r="O30" s="12" t="str">
        <f>VLOOKUP(A30,[1]体检入围人员!$D:$X,14,0)</f>
        <v>医学影像技术</v>
      </c>
      <c r="P30" s="12" t="str">
        <f>VLOOKUP(A30,[1]体检入围人员!$D:$X,21,0)</f>
        <v>15224892957</v>
      </c>
      <c r="Q30" s="18"/>
    </row>
    <row r="31" s="1" customFormat="1" ht="28.8" hidden="1" customHeight="1" spans="1:17">
      <c r="A31" s="9" t="str">
        <f>"黄思源"</f>
        <v>黄思源</v>
      </c>
      <c r="B31" s="9" t="s">
        <v>42</v>
      </c>
      <c r="C31" s="9" t="str">
        <f t="shared" si="2"/>
        <v>2005</v>
      </c>
      <c r="D31" s="9" t="s">
        <v>34</v>
      </c>
      <c r="E31" s="10">
        <v>54.25</v>
      </c>
      <c r="F31" s="9">
        <v>6</v>
      </c>
      <c r="G31" s="10">
        <v>78.6666666666667</v>
      </c>
      <c r="H31" s="10">
        <f t="shared" si="3"/>
        <v>64.0166666666667</v>
      </c>
      <c r="I31" s="12" t="str">
        <f>VLOOKUP(A31,[1]体检入围人员!$D:$X,2,0)</f>
        <v>男</v>
      </c>
      <c r="J31" s="12" t="str">
        <f>VLOOKUP(A31,[1]体检入围人员!$D:$X,3,0)</f>
        <v>1997-12-17</v>
      </c>
      <c r="K31" s="12" t="str">
        <f>VLOOKUP(A31,[1]体检入围人员!$D:$X,7,0)</f>
        <v>新野县</v>
      </c>
      <c r="L31" s="12" t="str">
        <f>VLOOKUP(A31,[1]体检入围人员!$D:$X,11,0)</f>
        <v>2022.07</v>
      </c>
      <c r="M31" s="12" t="str">
        <f>VLOOKUP(A31,[1]体检入围人员!$D:$X,12,0)</f>
        <v>黄河科技学院</v>
      </c>
      <c r="N31" s="12" t="str">
        <f>VLOOKUP(A31,[1]体检入围人员!$D:$X,13,0)</f>
        <v>本科</v>
      </c>
      <c r="O31" s="12" t="str">
        <f>VLOOKUP(A31,[1]体检入围人员!$D:$X,14,0)</f>
        <v>医学影像技术</v>
      </c>
      <c r="P31" s="12" t="str">
        <f>VLOOKUP(A31,[1]体检入围人员!$D:$X,21,0)</f>
        <v>13525198034</v>
      </c>
      <c r="Q31" s="18"/>
    </row>
    <row r="32" s="1" customFormat="1" ht="28.8" hidden="1" customHeight="1" spans="1:17">
      <c r="A32" s="9" t="str">
        <f>"艾梦琪"</f>
        <v>艾梦琪</v>
      </c>
      <c r="B32" s="9" t="s">
        <v>43</v>
      </c>
      <c r="C32" s="9" t="str">
        <f t="shared" si="2"/>
        <v>2005</v>
      </c>
      <c r="D32" s="9" t="s">
        <v>34</v>
      </c>
      <c r="E32" s="10">
        <v>53.95</v>
      </c>
      <c r="F32" s="9">
        <v>8</v>
      </c>
      <c r="G32" s="10">
        <v>73</v>
      </c>
      <c r="H32" s="10">
        <f t="shared" si="3"/>
        <v>61.57</v>
      </c>
      <c r="I32" s="12" t="str">
        <f>VLOOKUP(A32,[1]体检入围人员!$D:$X,2,0)</f>
        <v>女</v>
      </c>
      <c r="J32" s="12" t="str">
        <f>VLOOKUP(A32,[1]体检入围人员!$D:$X,3,0)</f>
        <v>1996-04-17</v>
      </c>
      <c r="K32" s="12" t="str">
        <f>VLOOKUP(A32,[1]体检入围人员!$D:$X,7,0)</f>
        <v>新野县</v>
      </c>
      <c r="L32" s="12" t="str">
        <f>VLOOKUP(A32,[1]体检入围人员!$D:$X,11,0)</f>
        <v>2020.07</v>
      </c>
      <c r="M32" s="12" t="str">
        <f>VLOOKUP(A32,[1]体检入围人员!$D:$X,12,0)</f>
        <v>黄河科技学院</v>
      </c>
      <c r="N32" s="12" t="str">
        <f>VLOOKUP(A32,[1]体检入围人员!$D:$X,13,0)</f>
        <v>本科</v>
      </c>
      <c r="O32" s="12" t="str">
        <f>VLOOKUP(A32,[1]体检入围人员!$D:$X,14,0)</f>
        <v>医学影像技术</v>
      </c>
      <c r="P32" s="12" t="str">
        <f>VLOOKUP(A32,[1]体检入围人员!$D:$X,21,0)</f>
        <v>15083316218</v>
      </c>
      <c r="Q32" s="18"/>
    </row>
    <row r="33" s="1" customFormat="1" ht="28.8" hidden="1" customHeight="1" spans="1:17">
      <c r="A33" s="9" t="str">
        <f>"鲁兆卓"</f>
        <v>鲁兆卓</v>
      </c>
      <c r="B33" s="9" t="s">
        <v>44</v>
      </c>
      <c r="C33" s="9" t="str">
        <f t="shared" si="2"/>
        <v>2005</v>
      </c>
      <c r="D33" s="9" t="s">
        <v>34</v>
      </c>
      <c r="E33" s="10">
        <v>54.1</v>
      </c>
      <c r="F33" s="9">
        <v>18</v>
      </c>
      <c r="G33" s="10">
        <v>71.3333333333333</v>
      </c>
      <c r="H33" s="10">
        <f t="shared" si="3"/>
        <v>60.9933333333333</v>
      </c>
      <c r="I33" s="12" t="str">
        <f>VLOOKUP(A33,[1]体检入围人员!$D:$X,2,0)</f>
        <v>男</v>
      </c>
      <c r="J33" s="12" t="str">
        <f>VLOOKUP(A33,[1]体检入围人员!$D:$X,3,0)</f>
        <v>1993-04-09</v>
      </c>
      <c r="K33" s="12" t="str">
        <f>VLOOKUP(A33,[1]体检入围人员!$D:$X,7,0)</f>
        <v>新野</v>
      </c>
      <c r="L33" s="12" t="str">
        <f>VLOOKUP(A33,[1]体检入围人员!$D:$X,11,0)</f>
        <v>2017.07</v>
      </c>
      <c r="M33" s="12" t="str">
        <f>VLOOKUP(A33,[1]体检入围人员!$D:$X,12,0)</f>
        <v>新乡医学院三全学院</v>
      </c>
      <c r="N33" s="12" t="str">
        <f>VLOOKUP(A33,[1]体检入围人员!$D:$X,13,0)</f>
        <v>本科</v>
      </c>
      <c r="O33" s="12" t="str">
        <f>VLOOKUP(A33,[1]体检入围人员!$D:$X,14,0)</f>
        <v>医学影像技术</v>
      </c>
      <c r="P33" s="12" t="str">
        <f>VLOOKUP(A33,[1]体检入围人员!$D:$X,21,0)</f>
        <v>15203876018</v>
      </c>
      <c r="Q33" s="18"/>
    </row>
    <row r="34" s="1" customFormat="1" ht="28.8" hidden="1" customHeight="1" spans="1:17">
      <c r="A34" s="9" t="str">
        <f>"夏佳"</f>
        <v>夏佳</v>
      </c>
      <c r="B34" s="9" t="s">
        <v>45</v>
      </c>
      <c r="C34" s="9" t="str">
        <f t="shared" si="2"/>
        <v>2005</v>
      </c>
      <c r="D34" s="9" t="s">
        <v>34</v>
      </c>
      <c r="E34" s="10">
        <v>50.15</v>
      </c>
      <c r="F34" s="9">
        <v>10</v>
      </c>
      <c r="G34" s="10">
        <v>76.3333333333333</v>
      </c>
      <c r="H34" s="10">
        <f t="shared" si="3"/>
        <v>60.6233333333333</v>
      </c>
      <c r="I34" s="12" t="str">
        <f>VLOOKUP(A34,[1]体检入围人员!$D:$X,2,0)</f>
        <v>女</v>
      </c>
      <c r="J34" s="12" t="str">
        <f>VLOOKUP(A34,[1]体检入围人员!$D:$X,3,0)</f>
        <v>2000-06-13</v>
      </c>
      <c r="K34" s="12" t="str">
        <f>VLOOKUP(A34,[1]体检入围人员!$D:$X,7,0)</f>
        <v>新野</v>
      </c>
      <c r="L34" s="12" t="str">
        <f>VLOOKUP(A34,[1]体检入围人员!$D:$X,11,0)</f>
        <v>2022.05</v>
      </c>
      <c r="M34" s="12" t="str">
        <f>VLOOKUP(A34,[1]体检入围人员!$D:$X,12,0)</f>
        <v>河南中医药大学</v>
      </c>
      <c r="N34" s="12" t="str">
        <f>VLOOKUP(A34,[1]体检入围人员!$D:$X,13,0)</f>
        <v>本科</v>
      </c>
      <c r="O34" s="12" t="str">
        <f>VLOOKUP(A34,[1]体检入围人员!$D:$X,14,0)</f>
        <v>医学影像技术</v>
      </c>
      <c r="P34" s="12" t="str">
        <f>VLOOKUP(A34,[1]体检入围人员!$D:$X,21,0)</f>
        <v>13525106831</v>
      </c>
      <c r="Q34" s="18"/>
    </row>
    <row r="35" s="1" customFormat="1" ht="28.8" hidden="1" customHeight="1" spans="1:17">
      <c r="A35" s="9" t="str">
        <f>"杨世鑫"</f>
        <v>杨世鑫</v>
      </c>
      <c r="B35" s="9" t="s">
        <v>46</v>
      </c>
      <c r="C35" s="9" t="str">
        <f t="shared" si="2"/>
        <v>2005</v>
      </c>
      <c r="D35" s="9" t="s">
        <v>34</v>
      </c>
      <c r="E35" s="10">
        <v>45.8</v>
      </c>
      <c r="F35" s="9">
        <v>3</v>
      </c>
      <c r="G35" s="10">
        <v>72.3333333333333</v>
      </c>
      <c r="H35" s="10">
        <f t="shared" si="3"/>
        <v>56.4133333333333</v>
      </c>
      <c r="I35" s="12" t="str">
        <f>VLOOKUP(A35,[1]体检入围人员!$D:$X,2,0)</f>
        <v>女</v>
      </c>
      <c r="J35" s="12" t="str">
        <f>VLOOKUP(A35,[1]体检入围人员!$D:$X,3,0)</f>
        <v>1999-02-14</v>
      </c>
      <c r="K35" s="12" t="str">
        <f>VLOOKUP(A35,[1]体检入围人员!$D:$X,7,0)</f>
        <v>南阳市</v>
      </c>
      <c r="L35" s="12" t="str">
        <f>VLOOKUP(A35,[1]体检入围人员!$D:$X,11,0)</f>
        <v>2020.7</v>
      </c>
      <c r="M35" s="12" t="str">
        <f>VLOOKUP(A35,[1]体检入围人员!$D:$X,12,0)</f>
        <v>黄河科技学院</v>
      </c>
      <c r="N35" s="12" t="str">
        <f>VLOOKUP(A35,[1]体检入围人员!$D:$X,13,0)</f>
        <v>本科</v>
      </c>
      <c r="O35" s="12" t="str">
        <f>VLOOKUP(A35,[1]体检入围人员!$D:$X,14,0)</f>
        <v>医学影像技术</v>
      </c>
      <c r="P35" s="12" t="str">
        <f>VLOOKUP(A35,[1]体检入围人员!$D:$X,21,0)</f>
        <v>18595904398</v>
      </c>
      <c r="Q35" s="18"/>
    </row>
    <row r="36" s="1" customFormat="1" ht="28.8" hidden="1" customHeight="1" spans="1:17">
      <c r="A36" s="9" t="str">
        <f>"曾庆琨"</f>
        <v>曾庆琨</v>
      </c>
      <c r="B36" s="9" t="s">
        <v>47</v>
      </c>
      <c r="C36" s="9" t="str">
        <f t="shared" si="2"/>
        <v>2005</v>
      </c>
      <c r="D36" s="9" t="s">
        <v>34</v>
      </c>
      <c r="E36" s="10">
        <v>66.75</v>
      </c>
      <c r="F36" s="9" t="s">
        <v>31</v>
      </c>
      <c r="G36" s="10"/>
      <c r="H36" s="10"/>
      <c r="I36" s="12" t="str">
        <f>VLOOKUP(A36,[1]体检入围人员!$D:$X,2,0)</f>
        <v>男</v>
      </c>
      <c r="J36" s="12" t="str">
        <f>VLOOKUP(A36,[1]体检入围人员!$D:$X,3,0)</f>
        <v>1998-12-29</v>
      </c>
      <c r="K36" s="12" t="str">
        <f>VLOOKUP(A36,[1]体检入围人员!$D:$X,7,0)</f>
        <v>南阳市卧龙区</v>
      </c>
      <c r="L36" s="12" t="str">
        <f>VLOOKUP(A36,[1]体检入围人员!$D:$X,11,0)</f>
        <v>2022.07</v>
      </c>
      <c r="M36" s="12" t="str">
        <f>VLOOKUP(A36,[1]体检入围人员!$D:$X,12,0)</f>
        <v>新乡医学院三全学院</v>
      </c>
      <c r="N36" s="12" t="str">
        <f>VLOOKUP(A36,[1]体检入围人员!$D:$X,13,0)</f>
        <v>本科</v>
      </c>
      <c r="O36" s="12" t="str">
        <f>VLOOKUP(A36,[1]体检入围人员!$D:$X,14,0)</f>
        <v>医学影像技术</v>
      </c>
      <c r="P36" s="12" t="str">
        <f>VLOOKUP(A36,[1]体检入围人员!$D:$X,21,0)</f>
        <v>17633608776</v>
      </c>
      <c r="Q36" s="18"/>
    </row>
    <row r="37" s="1" customFormat="1" ht="28.8" hidden="1" customHeight="1" spans="1:17">
      <c r="A37" s="9" t="str">
        <f>"王海娥"</f>
        <v>王海娥</v>
      </c>
      <c r="B37" s="9" t="s">
        <v>48</v>
      </c>
      <c r="C37" s="9" t="str">
        <f t="shared" si="2"/>
        <v>2005</v>
      </c>
      <c r="D37" s="9" t="s">
        <v>34</v>
      </c>
      <c r="E37" s="10">
        <v>51.7</v>
      </c>
      <c r="F37" s="9" t="s">
        <v>31</v>
      </c>
      <c r="G37" s="10"/>
      <c r="H37" s="10"/>
      <c r="I37" s="12" t="str">
        <f>VLOOKUP(A37,[1]体检入围人员!$D:$X,2,0)</f>
        <v>女</v>
      </c>
      <c r="J37" s="12" t="str">
        <f>VLOOKUP(A37,[1]体检入围人员!$D:$X,3,0)</f>
        <v>1995-05-15</v>
      </c>
      <c r="K37" s="12" t="str">
        <f>VLOOKUP(A37,[1]体检入围人员!$D:$X,7,0)</f>
        <v>邓州</v>
      </c>
      <c r="L37" s="12" t="str">
        <f>VLOOKUP(A37,[1]体检入围人员!$D:$X,11,0)</f>
        <v>2019.7</v>
      </c>
      <c r="M37" s="12" t="str">
        <f>VLOOKUP(A37,[1]体检入围人员!$D:$X,12,0)</f>
        <v>新乡医学院三全学院</v>
      </c>
      <c r="N37" s="12" t="str">
        <f>VLOOKUP(A37,[1]体检入围人员!$D:$X,13,0)</f>
        <v>本科</v>
      </c>
      <c r="O37" s="12" t="str">
        <f>VLOOKUP(A37,[1]体检入围人员!$D:$X,14,0)</f>
        <v>医学影像技术</v>
      </c>
      <c r="P37" s="12" t="str">
        <f>VLOOKUP(A37,[1]体检入围人员!$D:$X,21,0)</f>
        <v>18864589120</v>
      </c>
      <c r="Q37" s="18"/>
    </row>
    <row r="38" s="1" customFormat="1" ht="27" spans="1:17">
      <c r="A38" s="9" t="str">
        <f>"孙楠"</f>
        <v>孙楠</v>
      </c>
      <c r="B38" s="9" t="s">
        <v>49</v>
      </c>
      <c r="C38" s="9" t="str">
        <f t="shared" ref="C38:C46" si="4">"2006"</f>
        <v>2006</v>
      </c>
      <c r="D38" s="9" t="s">
        <v>50</v>
      </c>
      <c r="E38" s="10">
        <v>63.75</v>
      </c>
      <c r="F38" s="9">
        <v>9</v>
      </c>
      <c r="G38" s="10">
        <v>83.6666666666667</v>
      </c>
      <c r="H38" s="11">
        <f t="shared" ref="H38:H46" si="5">E38*0.6+G38*0.4</f>
        <v>71.7166666666667</v>
      </c>
      <c r="I38" s="12" t="str">
        <f>VLOOKUP(A38,[1]体检入围人员!$D:$X,2,0)</f>
        <v>女</v>
      </c>
      <c r="J38" s="14" t="str">
        <f>VLOOKUP(A38,[1]体检入围人员!$D:$X,3,0)</f>
        <v>1997-12-10</v>
      </c>
      <c r="K38" s="12" t="str">
        <f>VLOOKUP(A38,[1]体检入围人员!$D:$X,7,0)</f>
        <v>邓州市</v>
      </c>
      <c r="L38" s="12" t="str">
        <f>VLOOKUP(A38,[1]体检入围人员!$D:$X,11,0)</f>
        <v>2021.07</v>
      </c>
      <c r="M38" s="12" t="str">
        <f>VLOOKUP(A38,[1]体检入围人员!$D:$X,12,0)</f>
        <v>河南中医药大学</v>
      </c>
      <c r="N38" s="12" t="str">
        <f>VLOOKUP(A38,[1]体检入围人员!$D:$X,13,0)</f>
        <v>本科</v>
      </c>
      <c r="O38" s="12" t="str">
        <f>VLOOKUP(A38,[1]体检入围人员!$D:$X,14,0)</f>
        <v>医学检验技术</v>
      </c>
      <c r="P38" s="12" t="str">
        <f>VLOOKUP(A38,[1]体检入围人员!$D:$X,21,0)</f>
        <v>18438986335</v>
      </c>
      <c r="Q38" s="18"/>
    </row>
    <row r="39" s="1" customFormat="1" ht="27" spans="1:17">
      <c r="A39" s="9" t="str">
        <f>"王瑶"</f>
        <v>王瑶</v>
      </c>
      <c r="B39" s="9" t="s">
        <v>51</v>
      </c>
      <c r="C39" s="9" t="str">
        <f t="shared" si="4"/>
        <v>2006</v>
      </c>
      <c r="D39" s="9" t="s">
        <v>50</v>
      </c>
      <c r="E39" s="10">
        <v>63.05</v>
      </c>
      <c r="F39" s="9">
        <v>2</v>
      </c>
      <c r="G39" s="10">
        <v>82</v>
      </c>
      <c r="H39" s="11">
        <f t="shared" si="5"/>
        <v>70.63</v>
      </c>
      <c r="I39" s="12" t="str">
        <f>VLOOKUP(A39,[1]体检入围人员!$D:$X,2,0)</f>
        <v>女</v>
      </c>
      <c r="J39" s="14" t="str">
        <f>VLOOKUP(A39,[1]体检入围人员!$D:$X,3,0)</f>
        <v>1998-09-01</v>
      </c>
      <c r="K39" s="12" t="str">
        <f>VLOOKUP(A39,[1]体检入围人员!$D:$X,7,0)</f>
        <v>新野</v>
      </c>
      <c r="L39" s="12" t="str">
        <f>VLOOKUP(A39,[1]体检入围人员!$D:$X,11,0)</f>
        <v>2021.07</v>
      </c>
      <c r="M39" s="12" t="str">
        <f>VLOOKUP(A39,[1]体检入围人员!$D:$X,12,0)</f>
        <v>黄河科技学院</v>
      </c>
      <c r="N39" s="12" t="str">
        <f>VLOOKUP(A39,[1]体检入围人员!$D:$X,13,0)</f>
        <v>本科</v>
      </c>
      <c r="O39" s="12" t="str">
        <f>VLOOKUP(A39,[1]体检入围人员!$D:$X,14,0)</f>
        <v>医学检验技术</v>
      </c>
      <c r="P39" s="12" t="str">
        <f>VLOOKUP(A39,[1]体检入围人员!$D:$X,21,0)</f>
        <v>15716411786</v>
      </c>
      <c r="Q39" s="18"/>
    </row>
    <row r="40" s="1" customFormat="1" ht="27" spans="1:17">
      <c r="A40" s="9" t="str">
        <f>"任雪晴"</f>
        <v>任雪晴</v>
      </c>
      <c r="B40" s="9" t="s">
        <v>52</v>
      </c>
      <c r="C40" s="9" t="str">
        <f t="shared" si="4"/>
        <v>2006</v>
      </c>
      <c r="D40" s="9" t="s">
        <v>50</v>
      </c>
      <c r="E40" s="10">
        <v>56.6</v>
      </c>
      <c r="F40" s="9">
        <v>7</v>
      </c>
      <c r="G40" s="10">
        <v>82</v>
      </c>
      <c r="H40" s="11">
        <f t="shared" si="5"/>
        <v>66.76</v>
      </c>
      <c r="I40" s="12" t="str">
        <f>VLOOKUP(A40,[1]体检入围人员!$D:$X,2,0)</f>
        <v>女</v>
      </c>
      <c r="J40" s="14" t="str">
        <f>VLOOKUP(A40,[1]体检入围人员!$D:$X,3,0)</f>
        <v>2001-02-13</v>
      </c>
      <c r="K40" s="12" t="str">
        <f>VLOOKUP(A40,[1]体检入围人员!$D:$X,7,0)</f>
        <v>新野</v>
      </c>
      <c r="L40" s="12" t="str">
        <f>VLOOKUP(A40,[1]体检入围人员!$D:$X,11,0)</f>
        <v>2022.07</v>
      </c>
      <c r="M40" s="12" t="str">
        <f>VLOOKUP(A40,[1]体检入围人员!$D:$X,12,0)</f>
        <v>新乡医学院三全学院</v>
      </c>
      <c r="N40" s="12" t="str">
        <f>VLOOKUP(A40,[1]体检入围人员!$D:$X,13,0)</f>
        <v>本科</v>
      </c>
      <c r="O40" s="12" t="str">
        <f>VLOOKUP(A40,[1]体检入围人员!$D:$X,14,0)</f>
        <v>医学检验技术</v>
      </c>
      <c r="P40" s="12" t="str">
        <f>VLOOKUP(A40,[1]体检入围人员!$D:$X,21,0)</f>
        <v>15660857838</v>
      </c>
      <c r="Q40" s="18"/>
    </row>
    <row r="41" s="1" customFormat="1" ht="27" hidden="1" spans="1:17">
      <c r="A41" s="9" t="str">
        <f>"黄增辉"</f>
        <v>黄增辉</v>
      </c>
      <c r="B41" s="9" t="s">
        <v>53</v>
      </c>
      <c r="C41" s="9" t="str">
        <f t="shared" si="4"/>
        <v>2006</v>
      </c>
      <c r="D41" s="9" t="s">
        <v>50</v>
      </c>
      <c r="E41" s="10">
        <v>54.9</v>
      </c>
      <c r="F41" s="9">
        <v>22</v>
      </c>
      <c r="G41" s="10">
        <v>82.3333333333333</v>
      </c>
      <c r="H41" s="12">
        <f t="shared" si="5"/>
        <v>65.8733333333333</v>
      </c>
      <c r="I41" s="12" t="str">
        <f>VLOOKUP(A41,[1]体检入围人员!$D:$X,2,0)</f>
        <v>男</v>
      </c>
      <c r="J41" s="14" t="str">
        <f>VLOOKUP(A41,[1]体检入围人员!$D:$X,3,0)</f>
        <v>1996-01-25</v>
      </c>
      <c r="K41" s="12" t="str">
        <f>VLOOKUP(A41,[1]体检入围人员!$D:$X,7,0)</f>
        <v>宛城区</v>
      </c>
      <c r="L41" s="12" t="str">
        <f>VLOOKUP(A41,[1]体检入围人员!$D:$X,11,0)</f>
        <v>2020.07</v>
      </c>
      <c r="M41" s="12" t="str">
        <f>VLOOKUP(A41,[1]体检入围人员!$D:$X,12,0)</f>
        <v>黄河科技学院</v>
      </c>
      <c r="N41" s="12" t="str">
        <f>VLOOKUP(A41,[1]体检入围人员!$D:$X,13,0)</f>
        <v>本科</v>
      </c>
      <c r="O41" s="12" t="str">
        <f>VLOOKUP(A41,[1]体检入围人员!$D:$X,14,0)</f>
        <v>医学检验技术</v>
      </c>
      <c r="P41" s="12" t="str">
        <f>VLOOKUP(A41,[1]体检入围人员!$D:$X,21,0)</f>
        <v>15093861792</v>
      </c>
      <c r="Q41" s="18"/>
    </row>
    <row r="42" s="1" customFormat="1" ht="27" hidden="1" spans="1:17">
      <c r="A42" s="9" t="str">
        <f>"卢宇鹏"</f>
        <v>卢宇鹏</v>
      </c>
      <c r="B42" s="9" t="s">
        <v>54</v>
      </c>
      <c r="C42" s="9" t="str">
        <f t="shared" si="4"/>
        <v>2006</v>
      </c>
      <c r="D42" s="9" t="s">
        <v>50</v>
      </c>
      <c r="E42" s="10">
        <v>56.95</v>
      </c>
      <c r="F42" s="9">
        <v>16</v>
      </c>
      <c r="G42" s="10">
        <v>77.3333333333333</v>
      </c>
      <c r="H42" s="12">
        <f t="shared" si="5"/>
        <v>65.1033333333333</v>
      </c>
      <c r="I42" s="12" t="str">
        <f>VLOOKUP(A42,[1]体检入围人员!$D:$X,2,0)</f>
        <v>女</v>
      </c>
      <c r="J42" s="14" t="str">
        <f>VLOOKUP(A42,[1]体检入围人员!$D:$X,3,0)</f>
        <v>1998-04-10</v>
      </c>
      <c r="K42" s="12" t="str">
        <f>VLOOKUP(A42,[1]体检入围人员!$D:$X,7,0)</f>
        <v>邓州市</v>
      </c>
      <c r="L42" s="12" t="str">
        <f>VLOOKUP(A42,[1]体检入围人员!$D:$X,11,0)</f>
        <v>2022.07</v>
      </c>
      <c r="M42" s="12" t="str">
        <f>VLOOKUP(A42,[1]体检入围人员!$D:$X,12,0)</f>
        <v>河南科技大学</v>
      </c>
      <c r="N42" s="12" t="str">
        <f>VLOOKUP(A42,[1]体检入围人员!$D:$X,13,0)</f>
        <v>本科</v>
      </c>
      <c r="O42" s="12" t="str">
        <f>VLOOKUP(A42,[1]体检入围人员!$D:$X,14,0)</f>
        <v>医学检验技术</v>
      </c>
      <c r="P42" s="12" t="str">
        <f>VLOOKUP(A42,[1]体检入围人员!$D:$X,21,0)</f>
        <v>13838745935</v>
      </c>
      <c r="Q42" s="18"/>
    </row>
    <row r="43" s="1" customFormat="1" ht="27" hidden="1" spans="1:17">
      <c r="A43" s="9" t="str">
        <f>"魏一凡"</f>
        <v>魏一凡</v>
      </c>
      <c r="B43" s="9" t="s">
        <v>55</v>
      </c>
      <c r="C43" s="9" t="str">
        <f t="shared" si="4"/>
        <v>2006</v>
      </c>
      <c r="D43" s="9" t="s">
        <v>50</v>
      </c>
      <c r="E43" s="10">
        <v>50.4</v>
      </c>
      <c r="F43" s="9">
        <v>5</v>
      </c>
      <c r="G43" s="10">
        <v>79</v>
      </c>
      <c r="H43" s="10">
        <f t="shared" si="5"/>
        <v>61.84</v>
      </c>
      <c r="I43" s="12" t="str">
        <f>VLOOKUP(A43,[1]体检入围人员!$D:$X,2,0)</f>
        <v>女</v>
      </c>
      <c r="J43" s="12" t="str">
        <f>VLOOKUP(A43,[1]体检入围人员!$D:$X,3,0)</f>
        <v>2000-12-06</v>
      </c>
      <c r="K43" s="12" t="str">
        <f>VLOOKUP(A43,[1]体检入围人员!$D:$X,7,0)</f>
        <v>新野县</v>
      </c>
      <c r="L43" s="12" t="str">
        <f>VLOOKUP(A43,[1]体检入围人员!$D:$X,11,0)</f>
        <v>2022.07</v>
      </c>
      <c r="M43" s="12" t="str">
        <f>VLOOKUP(A43,[1]体检入围人员!$D:$X,12,0)</f>
        <v>新乡医学院三全学院</v>
      </c>
      <c r="N43" s="12" t="str">
        <f>VLOOKUP(A43,[1]体检入围人员!$D:$X,13,0)</f>
        <v>本科</v>
      </c>
      <c r="O43" s="12" t="str">
        <f>VLOOKUP(A43,[1]体检入围人员!$D:$X,14,0)</f>
        <v>医学检验技术</v>
      </c>
      <c r="P43" s="12" t="str">
        <f>VLOOKUP(A43,[1]体检入围人员!$D:$X,21,0)</f>
        <v>15660858328</v>
      </c>
      <c r="Q43" s="18"/>
    </row>
    <row r="44" s="1" customFormat="1" ht="27" hidden="1" spans="1:17">
      <c r="A44" s="9" t="str">
        <f>"高瑾"</f>
        <v>高瑾</v>
      </c>
      <c r="B44" s="9" t="s">
        <v>56</v>
      </c>
      <c r="C44" s="9" t="str">
        <f t="shared" si="4"/>
        <v>2006</v>
      </c>
      <c r="D44" s="9" t="s">
        <v>50</v>
      </c>
      <c r="E44" s="10">
        <v>47.5</v>
      </c>
      <c r="F44" s="9">
        <v>20</v>
      </c>
      <c r="G44" s="10">
        <v>78.6666666666667</v>
      </c>
      <c r="H44" s="10">
        <f t="shared" si="5"/>
        <v>59.9666666666667</v>
      </c>
      <c r="I44" s="12" t="str">
        <f>VLOOKUP(A44,[1]体检入围人员!$D:$X,2,0)</f>
        <v>女</v>
      </c>
      <c r="J44" s="12" t="str">
        <f>VLOOKUP(A44,[1]体检入围人员!$D:$X,3,0)</f>
        <v>1999-08-17</v>
      </c>
      <c r="K44" s="12" t="str">
        <f>VLOOKUP(A44,[1]体检入围人员!$D:$X,7,0)</f>
        <v>新野</v>
      </c>
      <c r="L44" s="12" t="str">
        <f>VLOOKUP(A44,[1]体检入围人员!$D:$X,11,0)</f>
        <v>2022.07</v>
      </c>
      <c r="M44" s="12" t="str">
        <f>VLOOKUP(A44,[1]体检入围人员!$D:$X,12,0)</f>
        <v>新乡医学院三全学院</v>
      </c>
      <c r="N44" s="12" t="str">
        <f>VLOOKUP(A44,[1]体检入围人员!$D:$X,13,0)</f>
        <v>本科</v>
      </c>
      <c r="O44" s="12" t="str">
        <f>VLOOKUP(A44,[1]体检入围人员!$D:$X,14,0)</f>
        <v>医学检验技术</v>
      </c>
      <c r="P44" s="12" t="str">
        <f>VLOOKUP(A44,[1]体检入围人员!$D:$X,21,0)</f>
        <v>18838613299</v>
      </c>
      <c r="Q44" s="18"/>
    </row>
    <row r="45" s="1" customFormat="1" ht="27" hidden="1" spans="1:17">
      <c r="A45" s="9" t="str">
        <f>"刘楠"</f>
        <v>刘楠</v>
      </c>
      <c r="B45" s="9" t="s">
        <v>57</v>
      </c>
      <c r="C45" s="9" t="str">
        <f t="shared" si="4"/>
        <v>2006</v>
      </c>
      <c r="D45" s="9" t="s">
        <v>50</v>
      </c>
      <c r="E45" s="10">
        <v>43.6</v>
      </c>
      <c r="F45" s="9">
        <v>12</v>
      </c>
      <c r="G45" s="10">
        <v>79.6666666666667</v>
      </c>
      <c r="H45" s="10">
        <f t="shared" si="5"/>
        <v>58.0266666666667</v>
      </c>
      <c r="I45" s="12" t="str">
        <f>VLOOKUP(A45,[1]体检入围人员!$D:$X,2,0)</f>
        <v>女</v>
      </c>
      <c r="J45" s="12" t="str">
        <f>VLOOKUP(A45,[1]体检入围人员!$D:$X,3,0)</f>
        <v>1998-10-11</v>
      </c>
      <c r="K45" s="12" t="str">
        <f>VLOOKUP(A45,[1]体检入围人员!$D:$X,7,0)</f>
        <v>新野</v>
      </c>
      <c r="L45" s="12" t="str">
        <f>VLOOKUP(A45,[1]体检入围人员!$D:$X,11,0)</f>
        <v>2020.07</v>
      </c>
      <c r="M45" s="12" t="str">
        <f>VLOOKUP(A45,[1]体检入围人员!$D:$X,12,0)</f>
        <v>黄河科技学院</v>
      </c>
      <c r="N45" s="12" t="str">
        <f>VLOOKUP(A45,[1]体检入围人员!$D:$X,13,0)</f>
        <v>本科</v>
      </c>
      <c r="O45" s="12" t="str">
        <f>VLOOKUP(A45,[1]体检入围人员!$D:$X,14,0)</f>
        <v>医学检验技术</v>
      </c>
      <c r="P45" s="12" t="str">
        <f>VLOOKUP(A45,[1]体检入围人员!$D:$X,21,0)</f>
        <v>15638548998</v>
      </c>
      <c r="Q45" s="18"/>
    </row>
    <row r="46" s="1" customFormat="1" ht="27" hidden="1" spans="1:17">
      <c r="A46" s="9" t="str">
        <f>"胡楠"</f>
        <v>胡楠</v>
      </c>
      <c r="B46" s="9" t="s">
        <v>58</v>
      </c>
      <c r="C46" s="9" t="str">
        <f t="shared" si="4"/>
        <v>2006</v>
      </c>
      <c r="D46" s="9" t="s">
        <v>50</v>
      </c>
      <c r="E46" s="10">
        <v>39.2</v>
      </c>
      <c r="F46" s="9">
        <v>19</v>
      </c>
      <c r="G46" s="10">
        <v>65.6666666666667</v>
      </c>
      <c r="H46" s="10">
        <f t="shared" si="5"/>
        <v>49.7866666666667</v>
      </c>
      <c r="I46" s="12" t="str">
        <f>VLOOKUP(A46,[1]体检入围人员!$D:$X,2,0)</f>
        <v>女</v>
      </c>
      <c r="J46" s="12" t="str">
        <f>VLOOKUP(A46,[1]体检入围人员!$D:$X,3,0)</f>
        <v>1999-05-11</v>
      </c>
      <c r="K46" s="12" t="str">
        <f>VLOOKUP(A46,[1]体检入围人员!$D:$X,7,0)</f>
        <v>南阳市</v>
      </c>
      <c r="L46" s="12" t="str">
        <f>VLOOKUP(A46,[1]体检入围人员!$D:$X,11,0)</f>
        <v>2022.07</v>
      </c>
      <c r="M46" s="12" t="str">
        <f>VLOOKUP(A46,[1]体检入围人员!$D:$X,12,0)</f>
        <v>黄河科技学院</v>
      </c>
      <c r="N46" s="12" t="str">
        <f>VLOOKUP(A46,[1]体检入围人员!$D:$X,13,0)</f>
        <v>本科</v>
      </c>
      <c r="O46" s="12" t="str">
        <f>VLOOKUP(A46,[1]体检入围人员!$D:$X,14,0)</f>
        <v>医学检验技术</v>
      </c>
      <c r="P46" s="12" t="str">
        <f>VLOOKUP(A46,[1]体检入围人员!$D:$X,21,0)</f>
        <v>18625673883</v>
      </c>
      <c r="Q46" s="18"/>
    </row>
    <row r="47" ht="27" spans="1:16382">
      <c r="A47" s="9" t="str">
        <f>"范宣伊"</f>
        <v>范宣伊</v>
      </c>
      <c r="B47" s="9"/>
      <c r="C47" s="9">
        <v>2001</v>
      </c>
      <c r="D47" s="9" t="s">
        <v>59</v>
      </c>
      <c r="E47" s="13"/>
      <c r="F47" s="12"/>
      <c r="G47" s="14"/>
      <c r="H47" s="11"/>
      <c r="I47" s="12" t="str">
        <f>"男"</f>
        <v>男</v>
      </c>
      <c r="J47" s="12" t="str">
        <f>"1997-08-20"</f>
        <v>1997-08-20</v>
      </c>
      <c r="K47" s="12" t="str">
        <f>"新野县"</f>
        <v>新野县</v>
      </c>
      <c r="L47" s="12" t="str">
        <f>VLOOKUP(A47,[1]体检入围人员!$D:$X,11,0)</f>
        <v>2022.7</v>
      </c>
      <c r="M47" s="12" t="str">
        <f>"新乡医学院三全学院"</f>
        <v>新乡医学院三全学院</v>
      </c>
      <c r="N47" s="18" t="str">
        <f t="shared" ref="N47:N68" si="6">"本科"</f>
        <v>本科</v>
      </c>
      <c r="O47" s="9" t="str">
        <f>"临床医学"</f>
        <v>临床医学</v>
      </c>
      <c r="P47" s="9" t="str">
        <f>"17613811918"</f>
        <v>17613811918</v>
      </c>
      <c r="Q47" s="9" t="s">
        <v>30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</row>
    <row r="48" ht="27" spans="1:16379">
      <c r="A48" s="9" t="str">
        <f>"李济同"</f>
        <v>李济同</v>
      </c>
      <c r="B48" s="9"/>
      <c r="C48" s="9">
        <v>2001</v>
      </c>
      <c r="D48" s="9" t="s">
        <v>59</v>
      </c>
      <c r="E48" s="13"/>
      <c r="F48" s="12"/>
      <c r="G48" s="12"/>
      <c r="H48" s="11"/>
      <c r="I48" s="12" t="str">
        <f>"男"</f>
        <v>男</v>
      </c>
      <c r="J48" s="12" t="str">
        <f>"1996-11-28"</f>
        <v>1996-11-28</v>
      </c>
      <c r="K48" s="18" t="str">
        <f>"新野县"</f>
        <v>新野县</v>
      </c>
      <c r="L48" s="12" t="str">
        <f>VLOOKUP(A48,[1]体检入围人员!$D:$X,11,0)</f>
        <v>2021.06</v>
      </c>
      <c r="M48" s="9" t="str">
        <f>"新乡医学院三全学院"</f>
        <v>新乡医学院三全学院</v>
      </c>
      <c r="N48" s="9" t="str">
        <f t="shared" si="6"/>
        <v>本科</v>
      </c>
      <c r="O48" s="9" t="str">
        <f>"临床医学"</f>
        <v>临床医学</v>
      </c>
      <c r="P48" s="9" t="str">
        <f>"17638993284"</f>
        <v>17638993284</v>
      </c>
      <c r="Q48" s="9" t="s">
        <v>30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</row>
    <row r="49" ht="27" spans="1:17">
      <c r="A49" s="9" t="str">
        <f>"鲁峥峰"</f>
        <v>鲁峥峰</v>
      </c>
      <c r="B49" s="9"/>
      <c r="C49" s="9">
        <v>2001</v>
      </c>
      <c r="D49" s="9" t="s">
        <v>59</v>
      </c>
      <c r="H49" s="11"/>
      <c r="I49" s="9" t="str">
        <f>"男"</f>
        <v>男</v>
      </c>
      <c r="J49" s="9" t="str">
        <f>"1997-02-28"</f>
        <v>1997-02-28</v>
      </c>
      <c r="K49" s="9" t="str">
        <f>"新野县"</f>
        <v>新野县</v>
      </c>
      <c r="L49" s="12" t="str">
        <f>VLOOKUP(A49,[1]体检入围人员!$D:$X,11,0)</f>
        <v>2022.07</v>
      </c>
      <c r="M49" s="9" t="str">
        <f>"新乡医学院三全学院"</f>
        <v>新乡医学院三全学院</v>
      </c>
      <c r="N49" s="9" t="str">
        <f t="shared" si="6"/>
        <v>本科</v>
      </c>
      <c r="O49" s="9" t="str">
        <f>"临床医学"</f>
        <v>临床医学</v>
      </c>
      <c r="P49" s="9" t="str">
        <f>"15737373226"</f>
        <v>15737373226</v>
      </c>
      <c r="Q49" s="9" t="s">
        <v>30</v>
      </c>
    </row>
    <row r="50" ht="27" spans="1:17">
      <c r="A50" s="9" t="str">
        <f>"黄松鹤"</f>
        <v>黄松鹤</v>
      </c>
      <c r="B50" s="9"/>
      <c r="C50" s="9">
        <v>2001</v>
      </c>
      <c r="D50" s="9" t="s">
        <v>59</v>
      </c>
      <c r="H50" s="11"/>
      <c r="I50" s="9" t="str">
        <f>"男"</f>
        <v>男</v>
      </c>
      <c r="J50" s="9" t="str">
        <f>"1992-07-20"</f>
        <v>1992-07-20</v>
      </c>
      <c r="K50" s="9" t="str">
        <f>"镇平县"</f>
        <v>镇平县</v>
      </c>
      <c r="L50" s="12" t="str">
        <f>VLOOKUP(A50,[1]体检入围人员!$D:$X,11,0)</f>
        <v>2017.07</v>
      </c>
      <c r="M50" s="9" t="str">
        <f>"新乡医学院三全学院"</f>
        <v>新乡医学院三全学院</v>
      </c>
      <c r="N50" s="9" t="str">
        <f t="shared" si="6"/>
        <v>本科</v>
      </c>
      <c r="O50" s="9" t="str">
        <f>"临床医学（专升本）"</f>
        <v>临床医学（专升本）</v>
      </c>
      <c r="P50" s="9" t="str">
        <f>"18567268883"</f>
        <v>18567268883</v>
      </c>
      <c r="Q50" s="9" t="s">
        <v>30</v>
      </c>
    </row>
    <row r="51" ht="27" spans="1:17">
      <c r="A51" s="9" t="str">
        <f>"王晓"</f>
        <v>王晓</v>
      </c>
      <c r="B51" s="9"/>
      <c r="C51" s="9">
        <v>2001</v>
      </c>
      <c r="D51" s="9" t="s">
        <v>59</v>
      </c>
      <c r="H51" s="11"/>
      <c r="I51" s="9" t="str">
        <f>"女"</f>
        <v>女</v>
      </c>
      <c r="J51" s="9" t="str">
        <f>"1998-12-01"</f>
        <v>1998-12-01</v>
      </c>
      <c r="K51" s="9" t="str">
        <f>"新野县"</f>
        <v>新野县</v>
      </c>
      <c r="L51" s="12" t="str">
        <f>VLOOKUP(A51,[1]体检入围人员!$D:$X,11,0)</f>
        <v>2021.06</v>
      </c>
      <c r="M51" s="9" t="str">
        <f>"新乡医学院"</f>
        <v>新乡医学院</v>
      </c>
      <c r="N51" s="9" t="str">
        <f t="shared" si="6"/>
        <v>本科</v>
      </c>
      <c r="O51" s="9" t="str">
        <f>"麻醉学"</f>
        <v>麻醉学</v>
      </c>
      <c r="P51" s="9" t="str">
        <f>"15090313297"</f>
        <v>15090313297</v>
      </c>
      <c r="Q51" s="9" t="s">
        <v>30</v>
      </c>
    </row>
    <row r="52" ht="27" spans="1:17">
      <c r="A52" s="9" t="str">
        <f>"陈浩"</f>
        <v>陈浩</v>
      </c>
      <c r="B52" s="9"/>
      <c r="C52" s="9">
        <v>2001</v>
      </c>
      <c r="D52" s="9" t="s">
        <v>59</v>
      </c>
      <c r="H52" s="11"/>
      <c r="I52" s="9" t="str">
        <f>"男"</f>
        <v>男</v>
      </c>
      <c r="J52" s="9" t="str">
        <f>"1994-11-16"</f>
        <v>1994-11-16</v>
      </c>
      <c r="K52" s="9" t="str">
        <f>"新野"</f>
        <v>新野</v>
      </c>
      <c r="L52" s="12" t="str">
        <f>VLOOKUP(A52,[1]体检入围人员!$D:$X,11,0)</f>
        <v>2021.07</v>
      </c>
      <c r="M52" s="9" t="str">
        <f>"新乡医学院三全学院"</f>
        <v>新乡医学院三全学院</v>
      </c>
      <c r="N52" s="9" t="str">
        <f t="shared" si="6"/>
        <v>本科</v>
      </c>
      <c r="O52" s="9" t="str">
        <f t="shared" ref="O52:O59" si="7">"临床医学"</f>
        <v>临床医学</v>
      </c>
      <c r="P52" s="9" t="str">
        <f>"18638973533"</f>
        <v>18638973533</v>
      </c>
      <c r="Q52" s="9" t="s">
        <v>30</v>
      </c>
    </row>
    <row r="53" ht="27" spans="1:17">
      <c r="A53" s="9" t="str">
        <f>"汪哲"</f>
        <v>汪哲</v>
      </c>
      <c r="B53" s="9"/>
      <c r="C53" s="9">
        <v>2001</v>
      </c>
      <c r="D53" s="9" t="s">
        <v>59</v>
      </c>
      <c r="H53" s="11"/>
      <c r="I53" s="9" t="str">
        <f>"女"</f>
        <v>女</v>
      </c>
      <c r="J53" s="9" t="str">
        <f>"2000-02-01"</f>
        <v>2000-02-01</v>
      </c>
      <c r="K53" s="9" t="str">
        <f>"新野县"</f>
        <v>新野县</v>
      </c>
      <c r="L53" s="12" t="str">
        <f>VLOOKUP(A53,[1]体检入围人员!$D:$X,11,0)</f>
        <v>2022.07</v>
      </c>
      <c r="M53" s="9" t="str">
        <f>"黄河科技学院"</f>
        <v>黄河科技学院</v>
      </c>
      <c r="N53" s="9" t="str">
        <f t="shared" si="6"/>
        <v>本科</v>
      </c>
      <c r="O53" s="9" t="str">
        <f t="shared" si="7"/>
        <v>临床医学</v>
      </c>
      <c r="P53" s="9" t="str">
        <f>"15093079162"</f>
        <v>15093079162</v>
      </c>
      <c r="Q53" s="9" t="s">
        <v>30</v>
      </c>
    </row>
    <row r="54" ht="27" spans="1:17">
      <c r="A54" s="9" t="str">
        <f>"梁剑英"</f>
        <v>梁剑英</v>
      </c>
      <c r="B54" s="9"/>
      <c r="C54" s="9">
        <v>2001</v>
      </c>
      <c r="D54" s="9" t="s">
        <v>59</v>
      </c>
      <c r="H54" s="11"/>
      <c r="I54" s="9" t="str">
        <f>"男"</f>
        <v>男</v>
      </c>
      <c r="J54" s="9" t="str">
        <f>"1997-06-03"</f>
        <v>1997-06-03</v>
      </c>
      <c r="K54" s="9" t="str">
        <f>"新野县"</f>
        <v>新野县</v>
      </c>
      <c r="L54" s="12" t="str">
        <f>VLOOKUP(A54,[1]体检入围人员!$D:$X,11,0)</f>
        <v>2021.07</v>
      </c>
      <c r="M54" s="9" t="str">
        <f>"黄河科技学院"</f>
        <v>黄河科技学院</v>
      </c>
      <c r="N54" s="9" t="str">
        <f t="shared" si="6"/>
        <v>本科</v>
      </c>
      <c r="O54" s="9" t="str">
        <f t="shared" si="7"/>
        <v>临床医学</v>
      </c>
      <c r="P54" s="9" t="str">
        <f>"18739002813"</f>
        <v>18739002813</v>
      </c>
      <c r="Q54" s="9" t="s">
        <v>30</v>
      </c>
    </row>
    <row r="55" ht="40.5" spans="1:17">
      <c r="A55" s="9" t="str">
        <f>"万中雨"</f>
        <v>万中雨</v>
      </c>
      <c r="B55" s="9"/>
      <c r="C55" s="9">
        <v>2001</v>
      </c>
      <c r="D55" s="9" t="s">
        <v>59</v>
      </c>
      <c r="H55" s="11"/>
      <c r="I55" s="9" t="str">
        <f>"女"</f>
        <v>女</v>
      </c>
      <c r="J55" s="9" t="str">
        <f>"1999-02-20"</f>
        <v>1999-02-20</v>
      </c>
      <c r="K55" s="9" t="str">
        <f>"城乡一体化示范区"</f>
        <v>城乡一体化示范区</v>
      </c>
      <c r="L55" s="12" t="str">
        <f>VLOOKUP(A55,[1]体检入围人员!$D:$X,11,0)</f>
        <v>2022.06</v>
      </c>
      <c r="M55" s="9" t="str">
        <f>"新乡医学院三全学院"</f>
        <v>新乡医学院三全学院</v>
      </c>
      <c r="N55" s="9" t="str">
        <f t="shared" si="6"/>
        <v>本科</v>
      </c>
      <c r="O55" s="9" t="str">
        <f t="shared" si="7"/>
        <v>临床医学</v>
      </c>
      <c r="P55" s="9" t="str">
        <f>"16637711168"</f>
        <v>16637711168</v>
      </c>
      <c r="Q55" s="9" t="s">
        <v>30</v>
      </c>
    </row>
    <row r="56" ht="27" spans="1:17">
      <c r="A56" s="9" t="str">
        <f>"罗娇"</f>
        <v>罗娇</v>
      </c>
      <c r="B56" s="9"/>
      <c r="C56" s="9">
        <v>2001</v>
      </c>
      <c r="D56" s="9" t="s">
        <v>59</v>
      </c>
      <c r="H56" s="11"/>
      <c r="I56" s="9" t="str">
        <f>"女"</f>
        <v>女</v>
      </c>
      <c r="J56" s="9" t="str">
        <f>"1998-06-28"</f>
        <v>1998-06-28</v>
      </c>
      <c r="K56" s="9" t="str">
        <f>"新野县"</f>
        <v>新野县</v>
      </c>
      <c r="L56" s="12" t="str">
        <f>VLOOKUP(A56,[1]体检入围人员!$D:$X,11,0)</f>
        <v>2021.07</v>
      </c>
      <c r="M56" s="9" t="str">
        <f>"新乡医学院三全学院"</f>
        <v>新乡医学院三全学院</v>
      </c>
      <c r="N56" s="9" t="str">
        <f t="shared" si="6"/>
        <v>本科</v>
      </c>
      <c r="O56" s="9" t="str">
        <f t="shared" si="7"/>
        <v>临床医学</v>
      </c>
      <c r="P56" s="9" t="str">
        <f>"18637722780"</f>
        <v>18637722780</v>
      </c>
      <c r="Q56" s="9" t="s">
        <v>30</v>
      </c>
    </row>
    <row r="57" ht="27" spans="1:17">
      <c r="A57" s="9" t="str">
        <f>"邹行"</f>
        <v>邹行</v>
      </c>
      <c r="B57" s="9"/>
      <c r="C57" s="9">
        <v>2001</v>
      </c>
      <c r="D57" s="9" t="s">
        <v>59</v>
      </c>
      <c r="H57" s="11"/>
      <c r="I57" s="9" t="str">
        <f>"男"</f>
        <v>男</v>
      </c>
      <c r="J57" s="9" t="str">
        <f>"1998-03-16"</f>
        <v>1998-03-16</v>
      </c>
      <c r="K57" s="9" t="str">
        <f>"新野县"</f>
        <v>新野县</v>
      </c>
      <c r="L57" s="12" t="str">
        <f>VLOOKUP(A57,[1]体检入围人员!$D:$X,11,0)</f>
        <v>2021.07</v>
      </c>
      <c r="M57" s="9" t="str">
        <f>"新乡医学院三全学院"</f>
        <v>新乡医学院三全学院</v>
      </c>
      <c r="N57" s="9" t="str">
        <f t="shared" si="6"/>
        <v>本科</v>
      </c>
      <c r="O57" s="9" t="str">
        <f t="shared" si="7"/>
        <v>临床医学</v>
      </c>
      <c r="P57" s="9" t="str">
        <f>"15239189175"</f>
        <v>15239189175</v>
      </c>
      <c r="Q57" s="9" t="s">
        <v>30</v>
      </c>
    </row>
    <row r="58" ht="27" spans="1:17">
      <c r="A58" s="9" t="str">
        <f>"赵馥"</f>
        <v>赵馥</v>
      </c>
      <c r="B58" s="9"/>
      <c r="C58" s="9">
        <v>2001</v>
      </c>
      <c r="D58" s="9" t="s">
        <v>59</v>
      </c>
      <c r="H58" s="11"/>
      <c r="I58" s="9" t="str">
        <f>"女"</f>
        <v>女</v>
      </c>
      <c r="J58" s="9" t="str">
        <f>"1997-07-01"</f>
        <v>1997-07-01</v>
      </c>
      <c r="K58" s="9" t="str">
        <f>"新野县"</f>
        <v>新野县</v>
      </c>
      <c r="L58" s="12" t="str">
        <f>VLOOKUP(A58,[1]体检入围人员!$D:$X,11,0)</f>
        <v>2020.07</v>
      </c>
      <c r="M58" s="9" t="str">
        <f>"黄河科技学院"</f>
        <v>黄河科技学院</v>
      </c>
      <c r="N58" s="9" t="str">
        <f t="shared" si="6"/>
        <v>本科</v>
      </c>
      <c r="O58" s="9" t="str">
        <f t="shared" si="7"/>
        <v>临床医学</v>
      </c>
      <c r="P58" s="9" t="str">
        <f>"15238318536"</f>
        <v>15238318536</v>
      </c>
      <c r="Q58" s="9" t="s">
        <v>30</v>
      </c>
    </row>
    <row r="59" ht="27" spans="1:17">
      <c r="A59" s="9" t="str">
        <f>"魏挺"</f>
        <v>魏挺</v>
      </c>
      <c r="B59" s="9"/>
      <c r="C59" s="9">
        <v>2001</v>
      </c>
      <c r="D59" s="9" t="s">
        <v>59</v>
      </c>
      <c r="H59" s="11"/>
      <c r="I59" s="9" t="str">
        <f>"男"</f>
        <v>男</v>
      </c>
      <c r="J59" s="9" t="str">
        <f>"1998-03-08"</f>
        <v>1998-03-08</v>
      </c>
      <c r="K59" s="9" t="str">
        <f>"枣阳市"</f>
        <v>枣阳市</v>
      </c>
      <c r="L59" s="12" t="str">
        <f>VLOOKUP(A59,[1]体检入围人员!$D:$X,11,0)</f>
        <v>2022.07</v>
      </c>
      <c r="M59" s="9" t="str">
        <f>"新乡医学院三全学院"</f>
        <v>新乡医学院三全学院</v>
      </c>
      <c r="N59" s="9" t="str">
        <f t="shared" si="6"/>
        <v>本科</v>
      </c>
      <c r="O59" s="9" t="str">
        <f t="shared" si="7"/>
        <v>临床医学</v>
      </c>
      <c r="P59" s="9" t="str">
        <f>"19871214568"</f>
        <v>19871214568</v>
      </c>
      <c r="Q59" s="9" t="s">
        <v>30</v>
      </c>
    </row>
    <row r="60" ht="27" spans="1:17">
      <c r="A60" s="9" t="str">
        <f>"张志茹"</f>
        <v>张志茹</v>
      </c>
      <c r="B60" s="9"/>
      <c r="C60" s="9" t="str">
        <f>"2004"</f>
        <v>2004</v>
      </c>
      <c r="D60" s="9" t="s">
        <v>60</v>
      </c>
      <c r="H60" s="11"/>
      <c r="I60" s="9" t="str">
        <f t="shared" ref="I60:I68" si="8">"女"</f>
        <v>女</v>
      </c>
      <c r="J60" s="9" t="str">
        <f>"1998-10-15"</f>
        <v>1998-10-15</v>
      </c>
      <c r="K60" s="9" t="str">
        <f>"邓州市"</f>
        <v>邓州市</v>
      </c>
      <c r="L60" s="12" t="str">
        <f>VLOOKUP(A60,[1]体检入围人员!$D:$X,11,0)</f>
        <v>2022.07</v>
      </c>
      <c r="M60" s="9" t="str">
        <f>"新乡医学院三全学院"</f>
        <v>新乡医学院三全学院</v>
      </c>
      <c r="N60" s="9" t="str">
        <f t="shared" si="6"/>
        <v>本科</v>
      </c>
      <c r="O60" s="9" t="str">
        <f>"康复治疗学"</f>
        <v>康复治疗学</v>
      </c>
      <c r="P60" s="9" t="str">
        <f>"15617135510"</f>
        <v>15617135510</v>
      </c>
      <c r="Q60" s="9" t="s">
        <v>30</v>
      </c>
    </row>
    <row r="61" ht="27" spans="1:17">
      <c r="A61" s="9" t="str">
        <f>"武云鹤"</f>
        <v>武云鹤</v>
      </c>
      <c r="B61" s="9"/>
      <c r="C61" s="9" t="str">
        <f>"2004"</f>
        <v>2004</v>
      </c>
      <c r="D61" s="9" t="s">
        <v>60</v>
      </c>
      <c r="H61" s="11"/>
      <c r="I61" s="9" t="str">
        <f t="shared" si="8"/>
        <v>女</v>
      </c>
      <c r="J61" s="9" t="str">
        <f>"2000-08-03"</f>
        <v>2000-08-03</v>
      </c>
      <c r="K61" s="9" t="str">
        <f>"邓州"</f>
        <v>邓州</v>
      </c>
      <c r="L61" s="12" t="str">
        <f>VLOOKUP(A61,[1]体检入围人员!$D:$X,11,0)</f>
        <v>2022.07</v>
      </c>
      <c r="M61" s="9" t="str">
        <f>"井冈山大学"</f>
        <v>井冈山大学</v>
      </c>
      <c r="N61" s="9" t="str">
        <f t="shared" si="6"/>
        <v>本科</v>
      </c>
      <c r="O61" s="9" t="str">
        <f>"康复治疗学"</f>
        <v>康复治疗学</v>
      </c>
      <c r="P61" s="9" t="str">
        <f>"18238135329"</f>
        <v>18238135329</v>
      </c>
      <c r="Q61" s="9" t="s">
        <v>30</v>
      </c>
    </row>
    <row r="62" ht="27" spans="1:17">
      <c r="A62" s="9" t="str">
        <f>"张佳"</f>
        <v>张佳</v>
      </c>
      <c r="B62" s="9"/>
      <c r="C62" s="9" t="str">
        <f>"2004"</f>
        <v>2004</v>
      </c>
      <c r="D62" s="9" t="s">
        <v>60</v>
      </c>
      <c r="H62" s="11"/>
      <c r="I62" s="9" t="str">
        <f t="shared" si="8"/>
        <v>女</v>
      </c>
      <c r="J62" s="9" t="str">
        <f>"1997-11-30"</f>
        <v>1997-11-30</v>
      </c>
      <c r="K62" s="9" t="str">
        <f>"新野"</f>
        <v>新野</v>
      </c>
      <c r="L62" s="12" t="str">
        <f>VLOOKUP(A62,[1]体检入围人员!$D:$X,11,0)</f>
        <v>2021.07</v>
      </c>
      <c r="M62" s="9" t="str">
        <f>"河南中医药大学"</f>
        <v>河南中医药大学</v>
      </c>
      <c r="N62" s="9" t="str">
        <f t="shared" si="6"/>
        <v>本科</v>
      </c>
      <c r="O62" s="9" t="str">
        <f>"针灸推拿学"</f>
        <v>针灸推拿学</v>
      </c>
      <c r="P62" s="9" t="str">
        <f>"18614985707"</f>
        <v>18614985707</v>
      </c>
      <c r="Q62" s="9" t="s">
        <v>30</v>
      </c>
    </row>
    <row r="63" ht="27" spans="1:17">
      <c r="A63" s="9" t="str">
        <f>"王少珍"</f>
        <v>王少珍</v>
      </c>
      <c r="B63" s="9"/>
      <c r="C63" s="9" t="str">
        <f>"2004"</f>
        <v>2004</v>
      </c>
      <c r="D63" s="9" t="s">
        <v>60</v>
      </c>
      <c r="H63" s="11"/>
      <c r="I63" s="9" t="str">
        <f t="shared" si="8"/>
        <v>女</v>
      </c>
      <c r="J63" s="9" t="str">
        <f>"1997-10-30"</f>
        <v>1997-10-30</v>
      </c>
      <c r="K63" s="9" t="str">
        <f>"新野"</f>
        <v>新野</v>
      </c>
      <c r="L63" s="12" t="str">
        <f>VLOOKUP(A63,[1]体检入围人员!$D:$X,11,0)</f>
        <v>2019.07</v>
      </c>
      <c r="M63" s="9" t="str">
        <f>"郑州工业应用技术学院"</f>
        <v>郑州工业应用技术学院</v>
      </c>
      <c r="N63" s="9" t="str">
        <f t="shared" si="6"/>
        <v>本科</v>
      </c>
      <c r="O63" s="9" t="str">
        <f>"康复治疗学"</f>
        <v>康复治疗学</v>
      </c>
      <c r="P63" s="9" t="str">
        <f>"15238376364"</f>
        <v>15238376364</v>
      </c>
      <c r="Q63" s="9" t="s">
        <v>30</v>
      </c>
    </row>
    <row r="64" ht="27" spans="1:17">
      <c r="A64" s="9" t="str">
        <f>"钞晶晶"</f>
        <v>钞晶晶</v>
      </c>
      <c r="B64" s="9"/>
      <c r="C64" s="9" t="str">
        <f>"2004"</f>
        <v>2004</v>
      </c>
      <c r="D64" s="9" t="s">
        <v>60</v>
      </c>
      <c r="H64" s="11"/>
      <c r="I64" s="9" t="str">
        <f t="shared" si="8"/>
        <v>女</v>
      </c>
      <c r="J64" s="9" t="str">
        <f>"1998-04-21"</f>
        <v>1998-04-21</v>
      </c>
      <c r="K64" s="9" t="str">
        <f>"新野县"</f>
        <v>新野县</v>
      </c>
      <c r="L64" s="12" t="str">
        <f>VLOOKUP(A64,[1]体检入围人员!$D:$X,11,0)</f>
        <v>2021.07</v>
      </c>
      <c r="M64" s="9" t="str">
        <f>"长治医学院"</f>
        <v>长治医学院</v>
      </c>
      <c r="N64" s="9" t="str">
        <f t="shared" si="6"/>
        <v>本科</v>
      </c>
      <c r="O64" s="9" t="str">
        <f>"音乐学（音乐治疗方向）"</f>
        <v>音乐学（音乐治疗方向）</v>
      </c>
      <c r="P64" s="9" t="str">
        <f>"17835651011"</f>
        <v>17835651011</v>
      </c>
      <c r="Q64" s="9" t="s">
        <v>30</v>
      </c>
    </row>
    <row r="65" ht="27" spans="1:17">
      <c r="A65" s="9" t="str">
        <f>"袁鸣"</f>
        <v>袁鸣</v>
      </c>
      <c r="B65" s="9"/>
      <c r="C65" s="9" t="str">
        <f>"2007"</f>
        <v>2007</v>
      </c>
      <c r="D65" s="9" t="s">
        <v>61</v>
      </c>
      <c r="H65" s="11"/>
      <c r="I65" s="9" t="str">
        <f t="shared" si="8"/>
        <v>女</v>
      </c>
      <c r="J65" s="9" t="str">
        <f>"1996-01-05"</f>
        <v>1996-01-05</v>
      </c>
      <c r="K65" s="9" t="str">
        <f>"南阳"</f>
        <v>南阳</v>
      </c>
      <c r="L65" s="12" t="str">
        <f>VLOOKUP(A65,[1]体检入围人员!$D:$X,11,0)</f>
        <v>2019.06</v>
      </c>
      <c r="M65" s="9" t="str">
        <f>"山东中医药大学"</f>
        <v>山东中医药大学</v>
      </c>
      <c r="N65" s="9" t="str">
        <f t="shared" si="6"/>
        <v>本科</v>
      </c>
      <c r="O65" s="9" t="str">
        <f>"中医学五年制"</f>
        <v>中医学五年制</v>
      </c>
      <c r="P65" s="9" t="str">
        <f>"19862998800"</f>
        <v>19862998800</v>
      </c>
      <c r="Q65" s="9" t="s">
        <v>30</v>
      </c>
    </row>
    <row r="66" ht="27" spans="1:17">
      <c r="A66" s="9" t="str">
        <f>"周鑫"</f>
        <v>周鑫</v>
      </c>
      <c r="B66" s="9"/>
      <c r="C66" s="9" t="str">
        <f>"2007"</f>
        <v>2007</v>
      </c>
      <c r="D66" s="9" t="s">
        <v>61</v>
      </c>
      <c r="H66" s="11"/>
      <c r="I66" s="9" t="str">
        <f t="shared" si="8"/>
        <v>女</v>
      </c>
      <c r="J66" s="9" t="str">
        <f>"1998-04-09"</f>
        <v>1998-04-09</v>
      </c>
      <c r="K66" s="9" t="str">
        <f>"南阳市宛城区"</f>
        <v>南阳市宛城区</v>
      </c>
      <c r="L66" s="12" t="str">
        <f>VLOOKUP(A66,[1]体检入围人员!$D:$X,11,0)</f>
        <v>2022.07</v>
      </c>
      <c r="M66" s="9" t="str">
        <f>"南阳理工学院"</f>
        <v>南阳理工学院</v>
      </c>
      <c r="N66" s="9" t="str">
        <f t="shared" si="6"/>
        <v>本科</v>
      </c>
      <c r="O66" s="9" t="str">
        <f>"中医学"</f>
        <v>中医学</v>
      </c>
      <c r="P66" s="9" t="str">
        <f>"15224862231"</f>
        <v>15224862231</v>
      </c>
      <c r="Q66" s="9" t="s">
        <v>30</v>
      </c>
    </row>
    <row r="67" ht="27" spans="1:17">
      <c r="A67" s="9" t="str">
        <f>"徐京"</f>
        <v>徐京</v>
      </c>
      <c r="B67" s="9"/>
      <c r="C67" s="9" t="str">
        <f>"2010"</f>
        <v>2010</v>
      </c>
      <c r="D67" s="9" t="s">
        <v>32</v>
      </c>
      <c r="H67" s="11"/>
      <c r="I67" s="9" t="str">
        <f t="shared" si="8"/>
        <v>女</v>
      </c>
      <c r="J67" s="9" t="str">
        <f>"1994-09-11"</f>
        <v>1994-09-11</v>
      </c>
      <c r="K67" s="9" t="str">
        <f>"新野县"</f>
        <v>新野县</v>
      </c>
      <c r="L67" s="12" t="str">
        <f>VLOOKUP(A67,[1]体检入围人员!$D:$X,11,0)</f>
        <v>2018.07</v>
      </c>
      <c r="M67" s="9" t="str">
        <f>"郑州工业应用技术学院"</f>
        <v>郑州工业应用技术学院</v>
      </c>
      <c r="N67" s="9" t="str">
        <f t="shared" si="6"/>
        <v>本科</v>
      </c>
      <c r="O67" s="9" t="str">
        <f>"护理学"</f>
        <v>护理学</v>
      </c>
      <c r="P67" s="9" t="str">
        <f>"15713715892"</f>
        <v>15713715892</v>
      </c>
      <c r="Q67" s="9" t="s">
        <v>30</v>
      </c>
    </row>
    <row r="68" ht="27" spans="1:17">
      <c r="A68" s="9" t="str">
        <f>"李俊帆"</f>
        <v>李俊帆</v>
      </c>
      <c r="B68" s="9"/>
      <c r="C68" s="9" t="str">
        <f>"2010"</f>
        <v>2010</v>
      </c>
      <c r="D68" s="9" t="s">
        <v>32</v>
      </c>
      <c r="H68" s="11"/>
      <c r="I68" s="9" t="str">
        <f t="shared" si="8"/>
        <v>女</v>
      </c>
      <c r="J68" s="9" t="str">
        <f>"1998-05-05"</f>
        <v>1998-05-05</v>
      </c>
      <c r="K68" s="9" t="str">
        <f>"新野县"</f>
        <v>新野县</v>
      </c>
      <c r="L68" s="12" t="str">
        <f>VLOOKUP(A68,[1]体检入围人员!$D:$X,11,0)</f>
        <v>2022.06</v>
      </c>
      <c r="M68" s="9" t="str">
        <f>"河南理工大学"</f>
        <v>河南理工大学</v>
      </c>
      <c r="N68" s="9" t="str">
        <f t="shared" si="6"/>
        <v>本科</v>
      </c>
      <c r="O68" s="9" t="str">
        <f>"护理学"</f>
        <v>护理学</v>
      </c>
      <c r="P68" s="9" t="str">
        <f>"18039311082"</f>
        <v>18039311082</v>
      </c>
      <c r="Q68" s="9" t="s">
        <v>30</v>
      </c>
    </row>
  </sheetData>
  <autoFilter ref="A2:Q68">
    <filterColumn colId="7">
      <colorFilter dxfId="0"/>
    </filterColumn>
    <sortState ref="A2:Q68">
      <sortCondition ref="C4:C47"/>
      <sortCondition ref="H4:H47" descending="1"/>
    </sortState>
    <extLst/>
  </autoFilter>
  <mergeCells count="1">
    <mergeCell ref="A1:Q1"/>
  </mergeCells>
  <printOptions horizontalCentered="1"/>
  <pageMargins left="0.44" right="0.27" top="0.25" bottom="0.275590551181102" header="0.17" footer="0.1574803149606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体检入围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2022-07-26T03:14:00Z</dcterms:created>
  <cp:lastPrinted>2022-07-26T03:16:00Z</cp:lastPrinted>
  <dcterms:modified xsi:type="dcterms:W3CDTF">2024-04-28T01:04:29Z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