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Sheet1!$A$2:$K$2</definedName>
    <definedName name="_xlnm.Print_Titles" localSheetId="0">Sheet1!$1:$2</definedName>
  </definedNames>
  <calcPr calcId="191029" iterate="1" iterateCount="100" iterateDelta="0.0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<sst xmlns="http://schemas.openxmlformats.org/spreadsheetml/2006/main" count="425" uniqueCount="210">
  <si>
    <t>附件2：三亚市中医院2024年度校园招聘卫生专业技术人员（第二场）综合成绩汇总表</t>
  </si>
  <si>
    <t>序号</t>
  </si>
  <si>
    <t>报考岗位</t>
  </si>
  <si>
    <t>身份证号码</t>
  </si>
  <si>
    <t>姓名</t>
  </si>
  <si>
    <t>笔试成绩</t>
  </si>
  <si>
    <t>笔试成绩*40%</t>
  </si>
  <si>
    <t>面试成绩</t>
  </si>
  <si>
    <t>面试成绩*60%</t>
  </si>
  <si>
    <t>综合成绩</t>
  </si>
  <si>
    <t>排名</t>
  </si>
  <si>
    <t>备注</t>
  </si>
  <si>
    <t>0103_康复科医师2</t>
  </si>
  <si>
    <t>232325199808033665</t>
  </si>
  <si>
    <t>1</t>
  </si>
  <si>
    <t>370302199611224526</t>
  </si>
  <si>
    <t>2</t>
  </si>
  <si>
    <t>邓明志</t>
  </si>
  <si>
    <t>3</t>
  </si>
  <si>
    <t>0104_心血管内科医师</t>
  </si>
  <si>
    <t>230105199512160026</t>
  </si>
  <si>
    <t>130121199802113013</t>
  </si>
  <si>
    <t>220702199607060214</t>
  </si>
  <si>
    <t>41282219971209553X</t>
  </si>
  <si>
    <t>4</t>
  </si>
  <si>
    <t>232321199601267725</t>
  </si>
  <si>
    <t>5</t>
  </si>
  <si>
    <t>0106_中医经典病房医师</t>
  </si>
  <si>
    <t>36242119971110442X</t>
  </si>
  <si>
    <t>36012419971225181X</t>
  </si>
  <si>
    <t>0109_外科医师</t>
  </si>
  <si>
    <t>232325199803152227</t>
  </si>
  <si>
    <t>411527199903190016</t>
  </si>
  <si>
    <t>面试缺考</t>
  </si>
  <si>
    <t>500222199804115822</t>
  </si>
  <si>
    <t>430702199808254014</t>
  </si>
  <si>
    <t>0110_麻醉科医师</t>
  </si>
  <si>
    <t>符召念</t>
  </si>
  <si>
    <t>陈惠</t>
  </si>
  <si>
    <t>0111_儿科医师</t>
  </si>
  <si>
    <t>朱春燕</t>
  </si>
  <si>
    <t>220204199604012116</t>
  </si>
  <si>
    <t>符明会</t>
  </si>
  <si>
    <t>131024199810260720</t>
  </si>
  <si>
    <t>460006199711037518</t>
  </si>
  <si>
    <t>130425199611113426</t>
  </si>
  <si>
    <t>0113_内分泌、肾病科医师</t>
  </si>
  <si>
    <t>230182199804130227</t>
  </si>
  <si>
    <t>李孟</t>
  </si>
  <si>
    <t>231005199805064025</t>
  </si>
  <si>
    <t>0114_老年病科医师</t>
  </si>
  <si>
    <t>232326199611053546</t>
  </si>
  <si>
    <t>500240199610311086</t>
  </si>
  <si>
    <t>41082319981004022X</t>
  </si>
  <si>
    <t>0115_妇产科医师</t>
  </si>
  <si>
    <t>469023199706090626</t>
  </si>
  <si>
    <t>41088319980803154X</t>
  </si>
  <si>
    <t>371311199810303427</t>
  </si>
  <si>
    <t>0116_感染科医师</t>
  </si>
  <si>
    <t>刘小妮</t>
  </si>
  <si>
    <t>0117_创伤骨科医师</t>
  </si>
  <si>
    <t>460003199509217612</t>
  </si>
  <si>
    <t>460004199603290011</t>
  </si>
  <si>
    <t>0118_急诊骨外科医师</t>
  </si>
  <si>
    <t>贺万雄</t>
  </si>
  <si>
    <t>0120_胃肠镜室医师</t>
  </si>
  <si>
    <t>211224199612168828</t>
  </si>
  <si>
    <t>张晓冬</t>
  </si>
  <si>
    <t>0121_急诊科医师</t>
  </si>
  <si>
    <t>430422199705010112</t>
  </si>
  <si>
    <t>0124_心电图医师</t>
  </si>
  <si>
    <t>46900520011029302X</t>
  </si>
  <si>
    <t>吴连</t>
  </si>
  <si>
    <t>0125_药师</t>
  </si>
  <si>
    <t>周小妹</t>
  </si>
  <si>
    <t>周志炜</t>
  </si>
  <si>
    <t>柯爱坤</t>
  </si>
  <si>
    <t>0126_中药师</t>
  </si>
  <si>
    <t>林良文</t>
  </si>
  <si>
    <t>320830199606175823</t>
  </si>
  <si>
    <t>370902199711252420</t>
  </si>
  <si>
    <t>0127_影像科医师</t>
  </si>
  <si>
    <t>李月丽</t>
  </si>
  <si>
    <t>陈占来</t>
  </si>
  <si>
    <t>0131_护理人员2</t>
  </si>
  <si>
    <t>431021200107228566</t>
  </si>
  <si>
    <t>许迎同</t>
  </si>
  <si>
    <t>邢水锦</t>
  </si>
  <si>
    <t>陈春雨</t>
  </si>
  <si>
    <t>陈毓康</t>
  </si>
  <si>
    <t>周晓姿</t>
  </si>
  <si>
    <t>王幸</t>
  </si>
  <si>
    <t>王颜</t>
  </si>
  <si>
    <t>王心怡</t>
  </si>
  <si>
    <t>高井玲</t>
  </si>
  <si>
    <t>李润婷</t>
  </si>
  <si>
    <t>桂顺康</t>
  </si>
  <si>
    <t>邢维茜</t>
  </si>
  <si>
    <t>韩金雯</t>
  </si>
  <si>
    <t>522323200106235619</t>
  </si>
  <si>
    <t>陈燕</t>
  </si>
  <si>
    <t>王莹</t>
  </si>
  <si>
    <t>王其丰</t>
  </si>
  <si>
    <t>张倩</t>
  </si>
  <si>
    <t>谢林娟</t>
  </si>
  <si>
    <t>关万幸</t>
  </si>
  <si>
    <t>林丹</t>
  </si>
  <si>
    <t>谢进灵</t>
  </si>
  <si>
    <t>陈秀带</t>
  </si>
  <si>
    <t>张必珍</t>
  </si>
  <si>
    <t>许晓静</t>
  </si>
  <si>
    <t>欧秋莹</t>
  </si>
  <si>
    <t>陈吉帅</t>
  </si>
  <si>
    <t>欧萃芹</t>
  </si>
  <si>
    <t>陈莹莹</t>
  </si>
  <si>
    <t>万章令</t>
  </si>
  <si>
    <t>杨倩</t>
  </si>
  <si>
    <t>王安雅</t>
  </si>
  <si>
    <t>陈冬莹</t>
  </si>
  <si>
    <t>卢健燕</t>
  </si>
  <si>
    <t>邢亚唯</t>
  </si>
  <si>
    <t>陈琪</t>
  </si>
  <si>
    <t>王玉芳</t>
  </si>
  <si>
    <t>赵壮美</t>
  </si>
  <si>
    <t>郑继明</t>
  </si>
  <si>
    <t>盛琳</t>
  </si>
  <si>
    <t>冯台峨</t>
  </si>
  <si>
    <t>王冰冰</t>
  </si>
  <si>
    <t>汪瑞莉</t>
  </si>
  <si>
    <t>469001200207052227</t>
  </si>
  <si>
    <t>周千蓉</t>
  </si>
  <si>
    <t>陈华梅</t>
  </si>
  <si>
    <t>450702200010226347</t>
  </si>
  <si>
    <t>容智禧</t>
  </si>
  <si>
    <t>董木丽</t>
  </si>
  <si>
    <t>陈琴</t>
  </si>
  <si>
    <t>占恒欣</t>
  </si>
  <si>
    <t>520202199810128265</t>
  </si>
  <si>
    <t>陈平蕾</t>
  </si>
  <si>
    <t>陈鑫鑫</t>
  </si>
  <si>
    <t>吴奇岭</t>
  </si>
  <si>
    <t>韦希希</t>
  </si>
  <si>
    <t>陈述娟</t>
  </si>
  <si>
    <t>王茜</t>
  </si>
  <si>
    <t>羊淑裘</t>
  </si>
  <si>
    <t>关凯戈</t>
  </si>
  <si>
    <t>陈小月</t>
  </si>
  <si>
    <t>关珍珍</t>
  </si>
  <si>
    <t>符永情</t>
  </si>
  <si>
    <t>王霜</t>
  </si>
  <si>
    <t>谭璇</t>
  </si>
  <si>
    <t>522323199905026228</t>
  </si>
  <si>
    <t>450332200206220023</t>
  </si>
  <si>
    <t>王秋奕</t>
  </si>
  <si>
    <t>羊英宜</t>
  </si>
  <si>
    <t>杨彩冬</t>
  </si>
  <si>
    <t>郑可娜</t>
  </si>
  <si>
    <t>李彦颖</t>
  </si>
  <si>
    <t>吴巧止</t>
  </si>
  <si>
    <t>李树连</t>
  </si>
  <si>
    <t>罗瑶璐</t>
  </si>
  <si>
    <t>陈俏俏</t>
  </si>
  <si>
    <t>邢火妙</t>
  </si>
  <si>
    <t>刘宇佟</t>
  </si>
  <si>
    <t>符侬</t>
  </si>
  <si>
    <t>周云兰</t>
  </si>
  <si>
    <t>邢日玫</t>
  </si>
  <si>
    <t>黄晓娜</t>
  </si>
  <si>
    <t>周小丹</t>
  </si>
  <si>
    <t>曾佳佳</t>
  </si>
  <si>
    <t>吴开丽</t>
  </si>
  <si>
    <t>陈秋香</t>
  </si>
  <si>
    <t>刘天蓉</t>
  </si>
  <si>
    <t>林亨墁</t>
  </si>
  <si>
    <t>吴福链</t>
  </si>
  <si>
    <t>魏婷</t>
  </si>
  <si>
    <t>潘虹羽</t>
  </si>
  <si>
    <t>陶鸿珠</t>
  </si>
  <si>
    <t>符慧萍</t>
  </si>
  <si>
    <t>黄淳</t>
  </si>
  <si>
    <t>陈诗霞</t>
  </si>
  <si>
    <t>肖翔</t>
  </si>
  <si>
    <t>李妃</t>
  </si>
  <si>
    <t>文芳燕</t>
  </si>
  <si>
    <t>文常慧</t>
  </si>
  <si>
    <t>吴清云</t>
  </si>
  <si>
    <t>面试不及格</t>
  </si>
  <si>
    <t>张湘琼</t>
  </si>
  <si>
    <t>吉修宇</t>
  </si>
  <si>
    <t>罗仙玲</t>
  </si>
  <si>
    <t>李小英</t>
  </si>
  <si>
    <t>吴水燕</t>
  </si>
  <si>
    <t>130428200203132921</t>
  </si>
  <si>
    <t>陈瑞璋</t>
  </si>
  <si>
    <t>23232520021020121X</t>
  </si>
  <si>
    <t>谢进</t>
  </si>
  <si>
    <t>513022199908268210</t>
  </si>
  <si>
    <t>符芳苑</t>
  </si>
  <si>
    <t>陈艳</t>
  </si>
  <si>
    <t>周心悦</t>
  </si>
  <si>
    <t>230127200207131417</t>
  </si>
  <si>
    <t>潘德仁</t>
  </si>
  <si>
    <t>吴香菊</t>
  </si>
  <si>
    <t>邢增蚯</t>
  </si>
  <si>
    <t>黄日康</t>
  </si>
  <si>
    <t>陈秋丽</t>
  </si>
  <si>
    <t>倪东英</t>
  </si>
  <si>
    <t>方宗霞</t>
  </si>
  <si>
    <t>面试弃考</t>
  </si>
  <si>
    <t>陈代桐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</si>
</sst>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);[Red]\(0.00\)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3"/>
      <name val="宋体"/>
      <charset val="134"/>
      <scheme val="minor"/>
    </font>
    <font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3"/>
  <sheetViews>
    <sheetView tabSelected="1" workbookViewId="0">
      <selection activeCell="M2" sqref="M2"/>
    </sheetView>
  </sheetViews>
  <sheetFormatPr defaultColWidth="12.9074074074074" defaultRowHeight="34" customHeight="1"/>
  <cols>
    <col min="1" max="1" width="7.09259259259259" style="3" customWidth="1"/>
    <col min="2" max="2" width="28.9074074074074" style="3" customWidth="1"/>
    <col min="3" max="3" width="23.0925925925926" style="3" customWidth="1"/>
    <col min="4" max="4" width="10.3611111111111" style="3" customWidth="1"/>
    <col min="5" max="9" width="12.9074074074074" style="4" customWidth="1"/>
    <col min="10" max="10" width="9.26851851851852" style="5" customWidth="1"/>
    <col min="11" max="11" width="13.7777777777778" style="3" customWidth="1"/>
    <col min="12" max="16379" width="12.9074074074074" style="3" customWidth="1"/>
    <col min="16380" max="16384" width="12.9074074074074" style="3"/>
  </cols>
  <sheetData>
    <row r="1" ht="57" customHeight="1" spans="1:11">
      <c r="A1" s="6" t="s">
        <v>0</v>
      </c>
      <c r="B1" s="7"/>
      <c r="C1" s="7"/>
      <c r="D1" s="7"/>
      <c r="E1" s="8"/>
      <c r="F1" s="8"/>
      <c r="G1" s="8"/>
      <c r="H1" s="8"/>
      <c r="I1" s="8"/>
      <c r="J1" s="17"/>
      <c r="K1" s="7"/>
    </row>
    <row r="2" s="1" customFormat="1" ht="41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8" t="s">
        <v>10</v>
      </c>
      <c r="K2" s="19" t="s">
        <v>11</v>
      </c>
    </row>
    <row r="3" s="2" customFormat="1" customHeight="1" spans="1:11">
      <c r="A3" s="11">
        <v>1</v>
      </c>
      <c r="B3" s="11" t="s">
        <v>12</v>
      </c>
      <c r="C3" s="11" t="s">
        <v>13</v>
      </c>
      <c r="D3" s="11" t="str">
        <f>"胡潇月"</f>
        <v>胡潇月</v>
      </c>
      <c r="E3" s="12">
        <v>81.24</v>
      </c>
      <c r="F3" s="13">
        <f t="shared" ref="F3:F34" si="0">E3*0.4</f>
        <v>32.5</v>
      </c>
      <c r="G3" s="14">
        <v>78</v>
      </c>
      <c r="H3" s="13">
        <f t="shared" ref="H3:H34" si="1">G3*0.6</f>
        <v>46.8</v>
      </c>
      <c r="I3" s="13">
        <f t="shared" ref="I3:I34" si="2">H3+F3</f>
        <v>79.3</v>
      </c>
      <c r="J3" s="20" t="s">
        <v>14</v>
      </c>
      <c r="K3" s="21"/>
    </row>
    <row r="4" s="2" customFormat="1" customHeight="1" spans="1:11">
      <c r="A4" s="11">
        <v>2</v>
      </c>
      <c r="B4" s="11" t="s">
        <v>12</v>
      </c>
      <c r="C4" s="11" t="s">
        <v>15</v>
      </c>
      <c r="D4" s="11" t="str">
        <f>"国文豪"</f>
        <v>国文豪</v>
      </c>
      <c r="E4" s="12">
        <v>69.36</v>
      </c>
      <c r="F4" s="13">
        <f t="shared" si="0"/>
        <v>27.74</v>
      </c>
      <c r="G4" s="14">
        <v>68.33</v>
      </c>
      <c r="H4" s="13">
        <f t="shared" si="1"/>
        <v>41</v>
      </c>
      <c r="I4" s="13">
        <f t="shared" si="2"/>
        <v>68.74</v>
      </c>
      <c r="J4" s="20" t="s">
        <v>16</v>
      </c>
      <c r="K4" s="21"/>
    </row>
    <row r="5" s="2" customFormat="1" customHeight="1" spans="1:11">
      <c r="A5" s="11">
        <v>3</v>
      </c>
      <c r="B5" s="15" t="s">
        <v>12</v>
      </c>
      <c r="C5" s="11" t="str">
        <f>"460034199611150439"</f>
        <v>460034199611150439</v>
      </c>
      <c r="D5" s="15" t="s">
        <v>17</v>
      </c>
      <c r="E5" s="12">
        <v>66.04</v>
      </c>
      <c r="F5" s="13">
        <f t="shared" si="0"/>
        <v>26.42</v>
      </c>
      <c r="G5" s="16">
        <v>0</v>
      </c>
      <c r="H5" s="13">
        <f t="shared" si="1"/>
        <v>0</v>
      </c>
      <c r="I5" s="13">
        <f t="shared" si="2"/>
        <v>26.42</v>
      </c>
      <c r="J5" s="20" t="s">
        <v>18</v>
      </c>
      <c r="K5" s="21"/>
    </row>
    <row r="6" s="2" customFormat="1" customHeight="1" spans="1:11">
      <c r="A6" s="11">
        <v>4</v>
      </c>
      <c r="B6" s="11" t="s">
        <v>19</v>
      </c>
      <c r="C6" s="11" t="s">
        <v>20</v>
      </c>
      <c r="D6" s="11" t="str">
        <f>"张嘉芮"</f>
        <v>张嘉芮</v>
      </c>
      <c r="E6" s="12">
        <v>70.6</v>
      </c>
      <c r="F6" s="13">
        <f t="shared" si="0"/>
        <v>28.24</v>
      </c>
      <c r="G6" s="14">
        <v>76.33</v>
      </c>
      <c r="H6" s="13">
        <f t="shared" si="1"/>
        <v>45.8</v>
      </c>
      <c r="I6" s="13">
        <f t="shared" si="2"/>
        <v>74.04</v>
      </c>
      <c r="J6" s="20" t="s">
        <v>14</v>
      </c>
      <c r="K6" s="21"/>
    </row>
    <row r="7" s="2" customFormat="1" customHeight="1" spans="1:11">
      <c r="A7" s="11">
        <v>5</v>
      </c>
      <c r="B7" s="11" t="s">
        <v>19</v>
      </c>
      <c r="C7" s="11" t="s">
        <v>21</v>
      </c>
      <c r="D7" s="11" t="str">
        <f>"马嘉乐"</f>
        <v>马嘉乐</v>
      </c>
      <c r="E7" s="12">
        <v>71.48</v>
      </c>
      <c r="F7" s="13">
        <f t="shared" si="0"/>
        <v>28.59</v>
      </c>
      <c r="G7" s="14">
        <v>75.5</v>
      </c>
      <c r="H7" s="13">
        <f t="shared" si="1"/>
        <v>45.3</v>
      </c>
      <c r="I7" s="13">
        <f t="shared" si="2"/>
        <v>73.89</v>
      </c>
      <c r="J7" s="20" t="s">
        <v>16</v>
      </c>
      <c r="K7" s="21"/>
    </row>
    <row r="8" s="2" customFormat="1" customHeight="1" spans="1:11">
      <c r="A8" s="11">
        <v>6</v>
      </c>
      <c r="B8" s="11" t="s">
        <v>19</v>
      </c>
      <c r="C8" s="11" t="s">
        <v>22</v>
      </c>
      <c r="D8" s="11" t="str">
        <f>"关帅"</f>
        <v>关帅</v>
      </c>
      <c r="E8" s="12">
        <v>69.52</v>
      </c>
      <c r="F8" s="13">
        <f t="shared" si="0"/>
        <v>27.81</v>
      </c>
      <c r="G8" s="14">
        <v>74.33</v>
      </c>
      <c r="H8" s="13">
        <f t="shared" si="1"/>
        <v>44.6</v>
      </c>
      <c r="I8" s="13">
        <f t="shared" si="2"/>
        <v>72.41</v>
      </c>
      <c r="J8" s="20" t="s">
        <v>18</v>
      </c>
      <c r="K8" s="21"/>
    </row>
    <row r="9" s="2" customFormat="1" customHeight="1" spans="1:11">
      <c r="A9" s="11">
        <v>7</v>
      </c>
      <c r="B9" s="11" t="s">
        <v>19</v>
      </c>
      <c r="C9" s="11" t="s">
        <v>23</v>
      </c>
      <c r="D9" s="11" t="str">
        <f>"佘林君"</f>
        <v>佘林君</v>
      </c>
      <c r="E9" s="12">
        <v>69.36</v>
      </c>
      <c r="F9" s="13">
        <f t="shared" si="0"/>
        <v>27.74</v>
      </c>
      <c r="G9" s="14">
        <v>67.5</v>
      </c>
      <c r="H9" s="13">
        <f t="shared" si="1"/>
        <v>40.5</v>
      </c>
      <c r="I9" s="13">
        <f t="shared" si="2"/>
        <v>68.24</v>
      </c>
      <c r="J9" s="20" t="s">
        <v>24</v>
      </c>
      <c r="K9" s="21"/>
    </row>
    <row r="10" s="2" customFormat="1" customHeight="1" spans="1:11">
      <c r="A10" s="11">
        <v>8</v>
      </c>
      <c r="B10" s="11" t="s">
        <v>19</v>
      </c>
      <c r="C10" s="11" t="s">
        <v>25</v>
      </c>
      <c r="D10" s="11" t="str">
        <f>"陈雪瑶"</f>
        <v>陈雪瑶</v>
      </c>
      <c r="E10" s="12">
        <v>61.12</v>
      </c>
      <c r="F10" s="13">
        <f t="shared" si="0"/>
        <v>24.45</v>
      </c>
      <c r="G10" s="14">
        <v>65.67</v>
      </c>
      <c r="H10" s="13">
        <f t="shared" si="1"/>
        <v>39.4</v>
      </c>
      <c r="I10" s="13">
        <f t="shared" si="2"/>
        <v>63.85</v>
      </c>
      <c r="J10" s="20" t="s">
        <v>26</v>
      </c>
      <c r="K10" s="21"/>
    </row>
    <row r="11" s="2" customFormat="1" customHeight="1" spans="1:11">
      <c r="A11" s="11">
        <v>9</v>
      </c>
      <c r="B11" s="11" t="s">
        <v>27</v>
      </c>
      <c r="C11" s="11" t="s">
        <v>28</v>
      </c>
      <c r="D11" s="11" t="str">
        <f>"王兰"</f>
        <v>王兰</v>
      </c>
      <c r="E11" s="12">
        <v>71.84</v>
      </c>
      <c r="F11" s="13">
        <f t="shared" si="0"/>
        <v>28.74</v>
      </c>
      <c r="G11" s="14">
        <v>70.5</v>
      </c>
      <c r="H11" s="13">
        <f t="shared" si="1"/>
        <v>42.3</v>
      </c>
      <c r="I11" s="13">
        <f t="shared" si="2"/>
        <v>71.04</v>
      </c>
      <c r="J11" s="20" t="s">
        <v>14</v>
      </c>
      <c r="K11" s="21"/>
    </row>
    <row r="12" s="2" customFormat="1" customHeight="1" spans="1:11">
      <c r="A12" s="11">
        <v>10</v>
      </c>
      <c r="B12" s="11" t="s">
        <v>27</v>
      </c>
      <c r="C12" s="11" t="s">
        <v>29</v>
      </c>
      <c r="D12" s="11" t="str">
        <f>"万家保"</f>
        <v>万家保</v>
      </c>
      <c r="E12" s="12">
        <v>69.16</v>
      </c>
      <c r="F12" s="13">
        <f t="shared" si="0"/>
        <v>27.66</v>
      </c>
      <c r="G12" s="14">
        <v>69.17</v>
      </c>
      <c r="H12" s="13">
        <f t="shared" si="1"/>
        <v>41.5</v>
      </c>
      <c r="I12" s="13">
        <f t="shared" si="2"/>
        <v>69.16</v>
      </c>
      <c r="J12" s="20" t="s">
        <v>16</v>
      </c>
      <c r="K12" s="21"/>
    </row>
    <row r="13" s="2" customFormat="1" customHeight="1" spans="1:11">
      <c r="A13" s="11">
        <v>11</v>
      </c>
      <c r="B13" s="11" t="s">
        <v>30</v>
      </c>
      <c r="C13" s="11" t="s">
        <v>31</v>
      </c>
      <c r="D13" s="11" t="str">
        <f>"金天成"</f>
        <v>金天成</v>
      </c>
      <c r="E13" s="12">
        <v>67.4</v>
      </c>
      <c r="F13" s="13">
        <f t="shared" si="0"/>
        <v>26.96</v>
      </c>
      <c r="G13" s="14">
        <v>76</v>
      </c>
      <c r="H13" s="13">
        <f t="shared" si="1"/>
        <v>45.6</v>
      </c>
      <c r="I13" s="13">
        <f t="shared" si="2"/>
        <v>72.56</v>
      </c>
      <c r="J13" s="20" t="s">
        <v>14</v>
      </c>
      <c r="K13" s="21"/>
    </row>
    <row r="14" s="2" customFormat="1" customHeight="1" spans="1:11">
      <c r="A14" s="11">
        <v>12</v>
      </c>
      <c r="B14" s="11" t="s">
        <v>30</v>
      </c>
      <c r="C14" s="11" t="s">
        <v>32</v>
      </c>
      <c r="D14" s="11" t="str">
        <f>"孙金威"</f>
        <v>孙金威</v>
      </c>
      <c r="E14" s="12">
        <v>65.32</v>
      </c>
      <c r="F14" s="13">
        <f t="shared" si="0"/>
        <v>26.13</v>
      </c>
      <c r="G14" s="16">
        <v>0</v>
      </c>
      <c r="H14" s="13">
        <f t="shared" si="1"/>
        <v>0</v>
      </c>
      <c r="I14" s="13">
        <f t="shared" si="2"/>
        <v>26.13</v>
      </c>
      <c r="J14" s="20"/>
      <c r="K14" s="21" t="s">
        <v>33</v>
      </c>
    </row>
    <row r="15" s="2" customFormat="1" customHeight="1" spans="1:11">
      <c r="A15" s="11">
        <v>13</v>
      </c>
      <c r="B15" s="11" t="s">
        <v>30</v>
      </c>
      <c r="C15" s="11" t="s">
        <v>34</v>
      </c>
      <c r="D15" s="11" t="str">
        <f>"陈星颖"</f>
        <v>陈星颖</v>
      </c>
      <c r="E15" s="12">
        <v>64.92</v>
      </c>
      <c r="F15" s="13">
        <f t="shared" si="0"/>
        <v>25.97</v>
      </c>
      <c r="G15" s="16">
        <v>0</v>
      </c>
      <c r="H15" s="13">
        <f t="shared" si="1"/>
        <v>0</v>
      </c>
      <c r="I15" s="13">
        <f t="shared" si="2"/>
        <v>25.97</v>
      </c>
      <c r="J15" s="20"/>
      <c r="K15" s="21" t="s">
        <v>33</v>
      </c>
    </row>
    <row r="16" s="2" customFormat="1" customHeight="1" spans="1:11">
      <c r="A16" s="11">
        <v>14</v>
      </c>
      <c r="B16" s="11" t="s">
        <v>30</v>
      </c>
      <c r="C16" s="11" t="s">
        <v>35</v>
      </c>
      <c r="D16" s="11" t="str">
        <f>"周梦笛"</f>
        <v>周梦笛</v>
      </c>
      <c r="E16" s="12">
        <v>54.36</v>
      </c>
      <c r="F16" s="13">
        <f t="shared" si="0"/>
        <v>21.74</v>
      </c>
      <c r="G16" s="16">
        <v>0</v>
      </c>
      <c r="H16" s="13">
        <f t="shared" si="1"/>
        <v>0</v>
      </c>
      <c r="I16" s="13">
        <f t="shared" si="2"/>
        <v>21.74</v>
      </c>
      <c r="J16" s="20"/>
      <c r="K16" s="21" t="s">
        <v>33</v>
      </c>
    </row>
    <row r="17" s="2" customFormat="1" customHeight="1" spans="1:11">
      <c r="A17" s="11">
        <v>15</v>
      </c>
      <c r="B17" s="15" t="s">
        <v>36</v>
      </c>
      <c r="C17" s="11" t="str">
        <f>"460007199709134964"</f>
        <v>460007199709134964</v>
      </c>
      <c r="D17" s="15" t="s">
        <v>37</v>
      </c>
      <c r="E17" s="12">
        <v>65.2</v>
      </c>
      <c r="F17" s="13">
        <f t="shared" si="0"/>
        <v>26.08</v>
      </c>
      <c r="G17" s="14">
        <v>68.83</v>
      </c>
      <c r="H17" s="13">
        <f t="shared" si="1"/>
        <v>41.3</v>
      </c>
      <c r="I17" s="13">
        <f t="shared" si="2"/>
        <v>67.38</v>
      </c>
      <c r="J17" s="20" t="s">
        <v>14</v>
      </c>
      <c r="K17" s="21"/>
    </row>
    <row r="18" s="2" customFormat="1" customHeight="1" spans="1:11">
      <c r="A18" s="11">
        <v>16</v>
      </c>
      <c r="B18" s="15" t="s">
        <v>36</v>
      </c>
      <c r="C18" s="11" t="str">
        <f>"46020019930729534X"</f>
        <v>46020019930729534X</v>
      </c>
      <c r="D18" s="15" t="s">
        <v>38</v>
      </c>
      <c r="E18" s="12">
        <v>54.44</v>
      </c>
      <c r="F18" s="13">
        <f t="shared" si="0"/>
        <v>21.78</v>
      </c>
      <c r="G18" s="16">
        <v>0</v>
      </c>
      <c r="H18" s="13">
        <f t="shared" si="1"/>
        <v>0</v>
      </c>
      <c r="I18" s="13">
        <f t="shared" si="2"/>
        <v>21.78</v>
      </c>
      <c r="J18" s="20"/>
      <c r="K18" s="21" t="s">
        <v>33</v>
      </c>
    </row>
    <row r="19" s="2" customFormat="1" customHeight="1" spans="1:11">
      <c r="A19" s="11">
        <v>17</v>
      </c>
      <c r="B19" s="15" t="s">
        <v>39</v>
      </c>
      <c r="C19" s="11" t="str">
        <f>"460003199506282822"</f>
        <v>460003199506282822</v>
      </c>
      <c r="D19" s="15" t="s">
        <v>40</v>
      </c>
      <c r="E19" s="12">
        <v>75.88</v>
      </c>
      <c r="F19" s="13">
        <f t="shared" si="0"/>
        <v>30.35</v>
      </c>
      <c r="G19" s="14">
        <v>85.67</v>
      </c>
      <c r="H19" s="13">
        <f t="shared" si="1"/>
        <v>51.4</v>
      </c>
      <c r="I19" s="13">
        <f t="shared" si="2"/>
        <v>81.75</v>
      </c>
      <c r="J19" s="20" t="s">
        <v>14</v>
      </c>
      <c r="K19" s="21"/>
    </row>
    <row r="20" s="2" customFormat="1" customHeight="1" spans="1:11">
      <c r="A20" s="11">
        <v>18</v>
      </c>
      <c r="B20" s="11" t="s">
        <v>39</v>
      </c>
      <c r="C20" s="11" t="s">
        <v>41</v>
      </c>
      <c r="D20" s="11" t="str">
        <f>"许根"</f>
        <v>许根</v>
      </c>
      <c r="E20" s="12">
        <v>78.2</v>
      </c>
      <c r="F20" s="13">
        <f t="shared" si="0"/>
        <v>31.28</v>
      </c>
      <c r="G20" s="14">
        <v>74.83</v>
      </c>
      <c r="H20" s="13">
        <f t="shared" si="1"/>
        <v>44.9</v>
      </c>
      <c r="I20" s="13">
        <f t="shared" si="2"/>
        <v>76.18</v>
      </c>
      <c r="J20" s="20" t="s">
        <v>16</v>
      </c>
      <c r="K20" s="21"/>
    </row>
    <row r="21" s="2" customFormat="1" customHeight="1" spans="1:11">
      <c r="A21" s="11">
        <v>19</v>
      </c>
      <c r="B21" s="15" t="s">
        <v>39</v>
      </c>
      <c r="C21" s="11" t="str">
        <f>"460007199602076565"</f>
        <v>460007199602076565</v>
      </c>
      <c r="D21" s="15" t="s">
        <v>42</v>
      </c>
      <c r="E21" s="12">
        <v>74.16</v>
      </c>
      <c r="F21" s="13">
        <f t="shared" si="0"/>
        <v>29.66</v>
      </c>
      <c r="G21" s="14">
        <v>72.83</v>
      </c>
      <c r="H21" s="13">
        <f t="shared" si="1"/>
        <v>43.7</v>
      </c>
      <c r="I21" s="13">
        <f t="shared" si="2"/>
        <v>73.36</v>
      </c>
      <c r="J21" s="20" t="s">
        <v>18</v>
      </c>
      <c r="K21" s="21"/>
    </row>
    <row r="22" s="2" customFormat="1" customHeight="1" spans="1:11">
      <c r="A22" s="11">
        <v>20</v>
      </c>
      <c r="B22" s="11" t="s">
        <v>39</v>
      </c>
      <c r="C22" s="11" t="s">
        <v>43</v>
      </c>
      <c r="D22" s="11" t="str">
        <f>"周踞虓"</f>
        <v>周踞虓</v>
      </c>
      <c r="E22" s="12">
        <v>67.52</v>
      </c>
      <c r="F22" s="13">
        <f t="shared" si="0"/>
        <v>27.01</v>
      </c>
      <c r="G22" s="14">
        <v>69.5</v>
      </c>
      <c r="H22" s="13">
        <f t="shared" si="1"/>
        <v>41.7</v>
      </c>
      <c r="I22" s="13">
        <f t="shared" si="2"/>
        <v>68.71</v>
      </c>
      <c r="J22" s="20" t="s">
        <v>24</v>
      </c>
      <c r="K22" s="21"/>
    </row>
    <row r="23" s="2" customFormat="1" customHeight="1" spans="1:11">
      <c r="A23" s="11">
        <v>21</v>
      </c>
      <c r="B23" s="11" t="s">
        <v>39</v>
      </c>
      <c r="C23" s="11" t="s">
        <v>44</v>
      </c>
      <c r="D23" s="11" t="str">
        <f>"郑永伦"</f>
        <v>郑永伦</v>
      </c>
      <c r="E23" s="12">
        <v>66.88</v>
      </c>
      <c r="F23" s="13">
        <f t="shared" si="0"/>
        <v>26.75</v>
      </c>
      <c r="G23" s="14">
        <v>68.17</v>
      </c>
      <c r="H23" s="13">
        <f t="shared" si="1"/>
        <v>40.9</v>
      </c>
      <c r="I23" s="13">
        <f t="shared" si="2"/>
        <v>67.65</v>
      </c>
      <c r="J23" s="20" t="s">
        <v>26</v>
      </c>
      <c r="K23" s="21"/>
    </row>
    <row r="24" s="2" customFormat="1" customHeight="1" spans="1:11">
      <c r="A24" s="11">
        <v>22</v>
      </c>
      <c r="B24" s="11" t="s">
        <v>39</v>
      </c>
      <c r="C24" s="11" t="s">
        <v>45</v>
      </c>
      <c r="D24" s="11" t="str">
        <f>"李亚南"</f>
        <v>李亚南</v>
      </c>
      <c r="E24" s="12">
        <v>69.8</v>
      </c>
      <c r="F24" s="13">
        <f t="shared" si="0"/>
        <v>27.92</v>
      </c>
      <c r="G24" s="16">
        <v>0</v>
      </c>
      <c r="H24" s="13">
        <f t="shared" si="1"/>
        <v>0</v>
      </c>
      <c r="I24" s="13">
        <f t="shared" si="2"/>
        <v>27.92</v>
      </c>
      <c r="J24" s="20"/>
      <c r="K24" s="21" t="s">
        <v>33</v>
      </c>
    </row>
    <row r="25" s="2" customFormat="1" customHeight="1" spans="1:11">
      <c r="A25" s="11">
        <v>23</v>
      </c>
      <c r="B25" s="11" t="s">
        <v>46</v>
      </c>
      <c r="C25" s="11" t="s">
        <v>47</v>
      </c>
      <c r="D25" s="11" t="str">
        <f>"张瀚文"</f>
        <v>张瀚文</v>
      </c>
      <c r="E25" s="12">
        <v>89.4</v>
      </c>
      <c r="F25" s="13">
        <f t="shared" si="0"/>
        <v>35.76</v>
      </c>
      <c r="G25" s="14">
        <v>67.17</v>
      </c>
      <c r="H25" s="13">
        <f t="shared" si="1"/>
        <v>40.3</v>
      </c>
      <c r="I25" s="13">
        <f t="shared" si="2"/>
        <v>76.06</v>
      </c>
      <c r="J25" s="20" t="s">
        <v>14</v>
      </c>
      <c r="K25" s="21"/>
    </row>
    <row r="26" s="2" customFormat="1" customHeight="1" spans="1:11">
      <c r="A26" s="11">
        <v>24</v>
      </c>
      <c r="B26" s="15" t="s">
        <v>46</v>
      </c>
      <c r="C26" s="11" t="str">
        <f>"232103199610114321"</f>
        <v>232103199610114321</v>
      </c>
      <c r="D26" s="15" t="s">
        <v>48</v>
      </c>
      <c r="E26" s="12">
        <v>62.28</v>
      </c>
      <c r="F26" s="13">
        <f t="shared" si="0"/>
        <v>24.91</v>
      </c>
      <c r="G26" s="14">
        <v>79.17</v>
      </c>
      <c r="H26" s="13">
        <f t="shared" si="1"/>
        <v>47.5</v>
      </c>
      <c r="I26" s="13">
        <f t="shared" si="2"/>
        <v>72.41</v>
      </c>
      <c r="J26" s="20" t="s">
        <v>16</v>
      </c>
      <c r="K26" s="21"/>
    </row>
    <row r="27" s="2" customFormat="1" customHeight="1" spans="1:11">
      <c r="A27" s="11">
        <v>25</v>
      </c>
      <c r="B27" s="11" t="s">
        <v>46</v>
      </c>
      <c r="C27" s="11" t="s">
        <v>49</v>
      </c>
      <c r="D27" s="11" t="str">
        <f>"马艺菲"</f>
        <v>马艺菲</v>
      </c>
      <c r="E27" s="12">
        <v>69.52</v>
      </c>
      <c r="F27" s="13">
        <f t="shared" si="0"/>
        <v>27.81</v>
      </c>
      <c r="G27" s="16">
        <v>0</v>
      </c>
      <c r="H27" s="13">
        <f t="shared" si="1"/>
        <v>0</v>
      </c>
      <c r="I27" s="13">
        <f t="shared" si="2"/>
        <v>27.81</v>
      </c>
      <c r="J27" s="20"/>
      <c r="K27" s="21" t="s">
        <v>33</v>
      </c>
    </row>
    <row r="28" s="2" customFormat="1" customHeight="1" spans="1:11">
      <c r="A28" s="11">
        <v>26</v>
      </c>
      <c r="B28" s="11" t="s">
        <v>50</v>
      </c>
      <c r="C28" s="11" t="s">
        <v>51</v>
      </c>
      <c r="D28" s="11" t="str">
        <f>"孙垚"</f>
        <v>孙垚</v>
      </c>
      <c r="E28" s="12">
        <v>72.6</v>
      </c>
      <c r="F28" s="13">
        <f t="shared" si="0"/>
        <v>29.04</v>
      </c>
      <c r="G28" s="14">
        <v>73.67</v>
      </c>
      <c r="H28" s="13">
        <f t="shared" si="1"/>
        <v>44.2</v>
      </c>
      <c r="I28" s="13">
        <f t="shared" si="2"/>
        <v>73.24</v>
      </c>
      <c r="J28" s="20" t="s">
        <v>14</v>
      </c>
      <c r="K28" s="21"/>
    </row>
    <row r="29" s="2" customFormat="1" customHeight="1" spans="1:11">
      <c r="A29" s="11">
        <v>27</v>
      </c>
      <c r="B29" s="11" t="s">
        <v>50</v>
      </c>
      <c r="C29" s="11" t="s">
        <v>52</v>
      </c>
      <c r="D29" s="11" t="str">
        <f>"刘丹"</f>
        <v>刘丹</v>
      </c>
      <c r="E29" s="12">
        <v>71.08</v>
      </c>
      <c r="F29" s="13">
        <f t="shared" si="0"/>
        <v>28.43</v>
      </c>
      <c r="G29" s="14">
        <v>65</v>
      </c>
      <c r="H29" s="13">
        <f t="shared" si="1"/>
        <v>39</v>
      </c>
      <c r="I29" s="13">
        <f t="shared" si="2"/>
        <v>67.43</v>
      </c>
      <c r="J29" s="20" t="s">
        <v>16</v>
      </c>
      <c r="K29" s="21"/>
    </row>
    <row r="30" s="2" customFormat="1" customHeight="1" spans="1:11">
      <c r="A30" s="11">
        <v>28</v>
      </c>
      <c r="B30" s="11" t="s">
        <v>50</v>
      </c>
      <c r="C30" s="11" t="s">
        <v>53</v>
      </c>
      <c r="D30" s="11" t="str">
        <f>"赛俊婷"</f>
        <v>赛俊婷</v>
      </c>
      <c r="E30" s="12">
        <v>69.4</v>
      </c>
      <c r="F30" s="13">
        <f t="shared" si="0"/>
        <v>27.76</v>
      </c>
      <c r="G30" s="16">
        <v>0</v>
      </c>
      <c r="H30" s="13">
        <f t="shared" si="1"/>
        <v>0</v>
      </c>
      <c r="I30" s="13">
        <f t="shared" si="2"/>
        <v>27.76</v>
      </c>
      <c r="J30" s="20"/>
      <c r="K30" s="21" t="s">
        <v>33</v>
      </c>
    </row>
    <row r="31" s="2" customFormat="1" customHeight="1" spans="1:11">
      <c r="A31" s="11">
        <v>29</v>
      </c>
      <c r="B31" s="11" t="s">
        <v>54</v>
      </c>
      <c r="C31" s="11" t="s">
        <v>55</v>
      </c>
      <c r="D31" s="11" t="str">
        <f>"徐小雨"</f>
        <v>徐小雨</v>
      </c>
      <c r="E31" s="12">
        <v>68.76</v>
      </c>
      <c r="F31" s="13">
        <f t="shared" si="0"/>
        <v>27.5</v>
      </c>
      <c r="G31" s="14">
        <v>71</v>
      </c>
      <c r="H31" s="13">
        <f t="shared" si="1"/>
        <v>42.6</v>
      </c>
      <c r="I31" s="13">
        <f t="shared" si="2"/>
        <v>70.1</v>
      </c>
      <c r="J31" s="20" t="s">
        <v>14</v>
      </c>
      <c r="K31" s="21"/>
    </row>
    <row r="32" s="2" customFormat="1" customHeight="1" spans="1:11">
      <c r="A32" s="11">
        <v>30</v>
      </c>
      <c r="B32" s="11" t="s">
        <v>54</v>
      </c>
      <c r="C32" s="11" t="s">
        <v>56</v>
      </c>
      <c r="D32" s="11" t="str">
        <f>"薛苗苗"</f>
        <v>薛苗苗</v>
      </c>
      <c r="E32" s="12">
        <v>61.24</v>
      </c>
      <c r="F32" s="13">
        <f t="shared" si="0"/>
        <v>24.5</v>
      </c>
      <c r="G32" s="14">
        <v>72.67</v>
      </c>
      <c r="H32" s="13">
        <f t="shared" si="1"/>
        <v>43.6</v>
      </c>
      <c r="I32" s="13">
        <f t="shared" si="2"/>
        <v>68.1</v>
      </c>
      <c r="J32" s="20" t="s">
        <v>16</v>
      </c>
      <c r="K32" s="21"/>
    </row>
    <row r="33" s="2" customFormat="1" customHeight="1" spans="1:11">
      <c r="A33" s="11">
        <v>31</v>
      </c>
      <c r="B33" s="11" t="s">
        <v>54</v>
      </c>
      <c r="C33" s="11" t="s">
        <v>57</v>
      </c>
      <c r="D33" s="11" t="str">
        <f>"赵媛媛"</f>
        <v>赵媛媛</v>
      </c>
      <c r="E33" s="12">
        <v>70.4</v>
      </c>
      <c r="F33" s="13">
        <f t="shared" si="0"/>
        <v>28.16</v>
      </c>
      <c r="G33" s="16">
        <v>0</v>
      </c>
      <c r="H33" s="13">
        <f t="shared" si="1"/>
        <v>0</v>
      </c>
      <c r="I33" s="13">
        <f t="shared" si="2"/>
        <v>28.16</v>
      </c>
      <c r="J33" s="20"/>
      <c r="K33" s="21" t="s">
        <v>33</v>
      </c>
    </row>
    <row r="34" s="2" customFormat="1" customHeight="1" spans="1:11">
      <c r="A34" s="11">
        <v>32</v>
      </c>
      <c r="B34" s="15" t="s">
        <v>58</v>
      </c>
      <c r="C34" s="11" t="str">
        <f>"460005199702243946"</f>
        <v>460005199702243946</v>
      </c>
      <c r="D34" s="15" t="s">
        <v>59</v>
      </c>
      <c r="E34" s="12">
        <v>73.52</v>
      </c>
      <c r="F34" s="13">
        <f t="shared" si="0"/>
        <v>29.41</v>
      </c>
      <c r="G34" s="14">
        <v>72.17</v>
      </c>
      <c r="H34" s="13">
        <f t="shared" si="1"/>
        <v>43.3</v>
      </c>
      <c r="I34" s="13">
        <f t="shared" si="2"/>
        <v>72.71</v>
      </c>
      <c r="J34" s="20" t="s">
        <v>14</v>
      </c>
      <c r="K34" s="21"/>
    </row>
    <row r="35" s="2" customFormat="1" customHeight="1" spans="1:11">
      <c r="A35" s="11">
        <v>33</v>
      </c>
      <c r="B35" s="11" t="s">
        <v>60</v>
      </c>
      <c r="C35" s="11" t="s">
        <v>61</v>
      </c>
      <c r="D35" s="11" t="str">
        <f>"周海松"</f>
        <v>周海松</v>
      </c>
      <c r="E35" s="12">
        <v>69.6</v>
      </c>
      <c r="F35" s="13">
        <f t="shared" ref="F35:F66" si="3">E35*0.4</f>
        <v>27.84</v>
      </c>
      <c r="G35" s="14">
        <v>69.17</v>
      </c>
      <c r="H35" s="13">
        <f t="shared" ref="H35:H66" si="4">G35*0.6</f>
        <v>41.5</v>
      </c>
      <c r="I35" s="13">
        <f t="shared" ref="I35:I66" si="5">H35+F35</f>
        <v>69.34</v>
      </c>
      <c r="J35" s="20" t="s">
        <v>14</v>
      </c>
      <c r="K35" s="21"/>
    </row>
    <row r="36" s="2" customFormat="1" customHeight="1" spans="1:11">
      <c r="A36" s="11">
        <v>34</v>
      </c>
      <c r="B36" s="11" t="s">
        <v>60</v>
      </c>
      <c r="C36" s="11" t="s">
        <v>62</v>
      </c>
      <c r="D36" s="11" t="str">
        <f>"王和胜"</f>
        <v>王和胜</v>
      </c>
      <c r="E36" s="12">
        <v>65.64</v>
      </c>
      <c r="F36" s="13">
        <f t="shared" si="3"/>
        <v>26.26</v>
      </c>
      <c r="G36" s="16">
        <v>0</v>
      </c>
      <c r="H36" s="13">
        <f t="shared" si="4"/>
        <v>0</v>
      </c>
      <c r="I36" s="13">
        <f t="shared" si="5"/>
        <v>26.26</v>
      </c>
      <c r="J36" s="20"/>
      <c r="K36" s="21" t="s">
        <v>33</v>
      </c>
    </row>
    <row r="37" s="2" customFormat="1" customHeight="1" spans="1:11">
      <c r="A37" s="11">
        <v>35</v>
      </c>
      <c r="B37" s="15" t="s">
        <v>63</v>
      </c>
      <c r="C37" s="11" t="str">
        <f>"152823199607260516"</f>
        <v>152823199607260516</v>
      </c>
      <c r="D37" s="15" t="s">
        <v>64</v>
      </c>
      <c r="E37" s="12">
        <v>53.8</v>
      </c>
      <c r="F37" s="13">
        <f t="shared" si="3"/>
        <v>21.52</v>
      </c>
      <c r="G37" s="14">
        <v>75.67</v>
      </c>
      <c r="H37" s="13">
        <f t="shared" si="4"/>
        <v>45.4</v>
      </c>
      <c r="I37" s="13">
        <f t="shared" si="5"/>
        <v>66.92</v>
      </c>
      <c r="J37" s="20" t="s">
        <v>14</v>
      </c>
      <c r="K37" s="21"/>
    </row>
    <row r="38" s="2" customFormat="1" customHeight="1" spans="1:11">
      <c r="A38" s="11">
        <v>36</v>
      </c>
      <c r="B38" s="11" t="s">
        <v>65</v>
      </c>
      <c r="C38" s="11" t="s">
        <v>66</v>
      </c>
      <c r="D38" s="11" t="str">
        <f>"吉长帅"</f>
        <v>吉长帅</v>
      </c>
      <c r="E38" s="12">
        <v>66.68</v>
      </c>
      <c r="F38" s="13">
        <f t="shared" si="3"/>
        <v>26.67</v>
      </c>
      <c r="G38" s="14">
        <v>70.67</v>
      </c>
      <c r="H38" s="13">
        <f t="shared" si="4"/>
        <v>42.4</v>
      </c>
      <c r="I38" s="13">
        <f t="shared" si="5"/>
        <v>69.07</v>
      </c>
      <c r="J38" s="20" t="s">
        <v>14</v>
      </c>
      <c r="K38" s="21"/>
    </row>
    <row r="39" s="2" customFormat="1" customHeight="1" spans="1:11">
      <c r="A39" s="11">
        <v>37</v>
      </c>
      <c r="B39" s="15" t="s">
        <v>65</v>
      </c>
      <c r="C39" s="11" t="str">
        <f>"460104199808221226"</f>
        <v>460104199808221226</v>
      </c>
      <c r="D39" s="15" t="s">
        <v>67</v>
      </c>
      <c r="E39" s="12">
        <v>56.28</v>
      </c>
      <c r="F39" s="13">
        <f t="shared" si="3"/>
        <v>22.51</v>
      </c>
      <c r="G39" s="14">
        <v>73</v>
      </c>
      <c r="H39" s="13">
        <f t="shared" si="4"/>
        <v>43.8</v>
      </c>
      <c r="I39" s="13">
        <f t="shared" si="5"/>
        <v>66.31</v>
      </c>
      <c r="J39" s="20" t="s">
        <v>16</v>
      </c>
      <c r="K39" s="21"/>
    </row>
    <row r="40" s="2" customFormat="1" customHeight="1" spans="1:11">
      <c r="A40" s="11">
        <v>38</v>
      </c>
      <c r="B40" s="11" t="s">
        <v>68</v>
      </c>
      <c r="C40" s="11" t="s">
        <v>69</v>
      </c>
      <c r="D40" s="11" t="str">
        <f>"王靖"</f>
        <v>王靖</v>
      </c>
      <c r="E40" s="12">
        <v>75.56</v>
      </c>
      <c r="F40" s="13">
        <f t="shared" si="3"/>
        <v>30.22</v>
      </c>
      <c r="G40" s="16">
        <v>0</v>
      </c>
      <c r="H40" s="13">
        <f t="shared" si="4"/>
        <v>0</v>
      </c>
      <c r="I40" s="13">
        <f t="shared" si="5"/>
        <v>30.22</v>
      </c>
      <c r="J40" s="20"/>
      <c r="K40" s="21" t="s">
        <v>33</v>
      </c>
    </row>
    <row r="41" s="2" customFormat="1" customHeight="1" spans="1:11">
      <c r="A41" s="11">
        <v>39</v>
      </c>
      <c r="B41" s="11" t="s">
        <v>70</v>
      </c>
      <c r="C41" s="11" t="s">
        <v>71</v>
      </c>
      <c r="D41" s="11" t="str">
        <f>"符文娴"</f>
        <v>符文娴</v>
      </c>
      <c r="E41" s="12">
        <v>66.24</v>
      </c>
      <c r="F41" s="13">
        <f t="shared" si="3"/>
        <v>26.5</v>
      </c>
      <c r="G41" s="16">
        <v>0</v>
      </c>
      <c r="H41" s="13">
        <f t="shared" si="4"/>
        <v>0</v>
      </c>
      <c r="I41" s="13">
        <f t="shared" si="5"/>
        <v>26.5</v>
      </c>
      <c r="J41" s="20"/>
      <c r="K41" s="21" t="s">
        <v>33</v>
      </c>
    </row>
    <row r="42" s="2" customFormat="1" customHeight="1" spans="1:11">
      <c r="A42" s="11">
        <v>40</v>
      </c>
      <c r="B42" s="15" t="s">
        <v>70</v>
      </c>
      <c r="C42" s="11" t="str">
        <f>"460027199811197641"</f>
        <v>460027199811197641</v>
      </c>
      <c r="D42" s="15" t="s">
        <v>72</v>
      </c>
      <c r="E42" s="12">
        <v>57.64</v>
      </c>
      <c r="F42" s="13">
        <f t="shared" si="3"/>
        <v>23.06</v>
      </c>
      <c r="G42" s="16">
        <v>0</v>
      </c>
      <c r="H42" s="13">
        <f t="shared" si="4"/>
        <v>0</v>
      </c>
      <c r="I42" s="13">
        <f t="shared" si="5"/>
        <v>23.06</v>
      </c>
      <c r="J42" s="20"/>
      <c r="K42" s="21" t="s">
        <v>33</v>
      </c>
    </row>
    <row r="43" s="2" customFormat="1" customHeight="1" spans="1:11">
      <c r="A43" s="11">
        <v>41</v>
      </c>
      <c r="B43" s="15" t="s">
        <v>73</v>
      </c>
      <c r="C43" s="11" t="str">
        <f>"46002819980210442X"</f>
        <v>46002819980210442X</v>
      </c>
      <c r="D43" s="15" t="s">
        <v>74</v>
      </c>
      <c r="E43" s="12">
        <v>63.36</v>
      </c>
      <c r="F43" s="13">
        <f t="shared" si="3"/>
        <v>25.34</v>
      </c>
      <c r="G43" s="14">
        <v>80.33</v>
      </c>
      <c r="H43" s="13">
        <f t="shared" si="4"/>
        <v>48.2</v>
      </c>
      <c r="I43" s="13">
        <f t="shared" si="5"/>
        <v>73.54</v>
      </c>
      <c r="J43" s="20" t="s">
        <v>14</v>
      </c>
      <c r="K43" s="21"/>
    </row>
    <row r="44" s="2" customFormat="1" customHeight="1" spans="1:11">
      <c r="A44" s="11">
        <v>42</v>
      </c>
      <c r="B44" s="15" t="s">
        <v>73</v>
      </c>
      <c r="C44" s="11" t="str">
        <f>"360622199805213219"</f>
        <v>360622199805213219</v>
      </c>
      <c r="D44" s="15" t="s">
        <v>75</v>
      </c>
      <c r="E44" s="12">
        <v>68.24</v>
      </c>
      <c r="F44" s="13">
        <f t="shared" si="3"/>
        <v>27.3</v>
      </c>
      <c r="G44" s="14">
        <v>74.17</v>
      </c>
      <c r="H44" s="13">
        <f t="shared" si="4"/>
        <v>44.5</v>
      </c>
      <c r="I44" s="13">
        <f t="shared" si="5"/>
        <v>71.8</v>
      </c>
      <c r="J44" s="20" t="s">
        <v>16</v>
      </c>
      <c r="K44" s="21"/>
    </row>
    <row r="45" s="2" customFormat="1" customHeight="1" spans="1:11">
      <c r="A45" s="11">
        <v>43</v>
      </c>
      <c r="B45" s="15" t="s">
        <v>73</v>
      </c>
      <c r="C45" s="11" t="str">
        <f>"460003200112260028"</f>
        <v>460003200112260028</v>
      </c>
      <c r="D45" s="15" t="s">
        <v>76</v>
      </c>
      <c r="E45" s="12">
        <v>72.8</v>
      </c>
      <c r="F45" s="13">
        <f t="shared" si="3"/>
        <v>29.12</v>
      </c>
      <c r="G45" s="14">
        <v>70.67</v>
      </c>
      <c r="H45" s="13">
        <f t="shared" si="4"/>
        <v>42.4</v>
      </c>
      <c r="I45" s="13">
        <f t="shared" si="5"/>
        <v>71.52</v>
      </c>
      <c r="J45" s="20" t="s">
        <v>18</v>
      </c>
      <c r="K45" s="21"/>
    </row>
    <row r="46" s="2" customFormat="1" customHeight="1" spans="1:11">
      <c r="A46" s="11">
        <v>44</v>
      </c>
      <c r="B46" s="15" t="s">
        <v>77</v>
      </c>
      <c r="C46" s="11" t="str">
        <f>"469003200107042710"</f>
        <v>469003200107042710</v>
      </c>
      <c r="D46" s="15" t="s">
        <v>78</v>
      </c>
      <c r="E46" s="12">
        <v>68.12</v>
      </c>
      <c r="F46" s="13">
        <f t="shared" si="3"/>
        <v>27.25</v>
      </c>
      <c r="G46" s="14">
        <v>74.5</v>
      </c>
      <c r="H46" s="13">
        <f t="shared" si="4"/>
        <v>44.7</v>
      </c>
      <c r="I46" s="13">
        <f t="shared" si="5"/>
        <v>71.95</v>
      </c>
      <c r="J46" s="20" t="s">
        <v>14</v>
      </c>
      <c r="K46" s="21"/>
    </row>
    <row r="47" s="2" customFormat="1" customHeight="1" spans="1:11">
      <c r="A47" s="11">
        <v>45</v>
      </c>
      <c r="B47" s="11" t="s">
        <v>77</v>
      </c>
      <c r="C47" s="11" t="s">
        <v>79</v>
      </c>
      <c r="D47" s="11" t="str">
        <f>"韩慧玲"</f>
        <v>韩慧玲</v>
      </c>
      <c r="E47" s="12">
        <v>69.44</v>
      </c>
      <c r="F47" s="13">
        <f t="shared" si="3"/>
        <v>27.78</v>
      </c>
      <c r="G47" s="14">
        <v>67</v>
      </c>
      <c r="H47" s="13">
        <f t="shared" si="4"/>
        <v>40.2</v>
      </c>
      <c r="I47" s="13">
        <f t="shared" si="5"/>
        <v>67.98</v>
      </c>
      <c r="J47" s="20" t="s">
        <v>16</v>
      </c>
      <c r="K47" s="21"/>
    </row>
    <row r="48" s="2" customFormat="1" customHeight="1" spans="1:11">
      <c r="A48" s="11">
        <v>46</v>
      </c>
      <c r="B48" s="11" t="s">
        <v>77</v>
      </c>
      <c r="C48" s="11" t="s">
        <v>80</v>
      </c>
      <c r="D48" s="11" t="str">
        <f>"刘璐"</f>
        <v>刘璐</v>
      </c>
      <c r="E48" s="12">
        <v>76.76</v>
      </c>
      <c r="F48" s="13">
        <f t="shared" si="3"/>
        <v>30.7</v>
      </c>
      <c r="G48" s="16">
        <v>0</v>
      </c>
      <c r="H48" s="13">
        <f t="shared" si="4"/>
        <v>0</v>
      </c>
      <c r="I48" s="13">
        <f t="shared" si="5"/>
        <v>30.7</v>
      </c>
      <c r="J48" s="20"/>
      <c r="K48" s="21" t="s">
        <v>33</v>
      </c>
    </row>
    <row r="49" s="2" customFormat="1" customHeight="1" spans="1:11">
      <c r="A49" s="11">
        <v>47</v>
      </c>
      <c r="B49" s="15" t="s">
        <v>81</v>
      </c>
      <c r="C49" s="11" t="str">
        <f>"460300199612050045"</f>
        <v>460300199612050045</v>
      </c>
      <c r="D49" s="15" t="s">
        <v>82</v>
      </c>
      <c r="E49" s="12">
        <v>66.88</v>
      </c>
      <c r="F49" s="13">
        <f t="shared" si="3"/>
        <v>26.75</v>
      </c>
      <c r="G49" s="14">
        <v>70.83</v>
      </c>
      <c r="H49" s="13">
        <f t="shared" si="4"/>
        <v>42.5</v>
      </c>
      <c r="I49" s="13">
        <f t="shared" si="5"/>
        <v>69.25</v>
      </c>
      <c r="J49" s="20" t="s">
        <v>14</v>
      </c>
      <c r="K49" s="21"/>
    </row>
    <row r="50" s="2" customFormat="1" customHeight="1" spans="1:11">
      <c r="A50" s="11">
        <v>48</v>
      </c>
      <c r="B50" s="15" t="s">
        <v>81</v>
      </c>
      <c r="C50" s="11" t="str">
        <f>"469003199910017017"</f>
        <v>469003199910017017</v>
      </c>
      <c r="D50" s="15" t="s">
        <v>83</v>
      </c>
      <c r="E50" s="12">
        <v>50.88</v>
      </c>
      <c r="F50" s="13">
        <f t="shared" si="3"/>
        <v>20.35</v>
      </c>
      <c r="G50" s="14">
        <v>75.67</v>
      </c>
      <c r="H50" s="13">
        <f t="shared" si="4"/>
        <v>45.4</v>
      </c>
      <c r="I50" s="13">
        <f t="shared" si="5"/>
        <v>65.75</v>
      </c>
      <c r="J50" s="20" t="s">
        <v>16</v>
      </c>
      <c r="K50" s="21"/>
    </row>
    <row r="51" s="2" customFormat="1" customHeight="1" spans="1:11">
      <c r="A51" s="11">
        <v>49</v>
      </c>
      <c r="B51" s="11" t="s">
        <v>84</v>
      </c>
      <c r="C51" s="11" t="s">
        <v>85</v>
      </c>
      <c r="D51" s="11" t="str">
        <f>"刘瑶"</f>
        <v>刘瑶</v>
      </c>
      <c r="E51" s="12">
        <v>85.04</v>
      </c>
      <c r="F51" s="13">
        <f t="shared" si="3"/>
        <v>34.02</v>
      </c>
      <c r="G51" s="14">
        <v>78</v>
      </c>
      <c r="H51" s="13">
        <f t="shared" si="4"/>
        <v>46.8</v>
      </c>
      <c r="I51" s="13">
        <f t="shared" si="5"/>
        <v>80.82</v>
      </c>
      <c r="J51" s="22">
        <v>1</v>
      </c>
      <c r="K51" s="21"/>
    </row>
    <row r="52" s="2" customFormat="1" customHeight="1" spans="1:11">
      <c r="A52" s="11">
        <v>50</v>
      </c>
      <c r="B52" s="15" t="s">
        <v>84</v>
      </c>
      <c r="C52" s="11" t="str">
        <f>"460028200106017627"</f>
        <v>460028200106017627</v>
      </c>
      <c r="D52" s="15" t="s">
        <v>86</v>
      </c>
      <c r="E52" s="12">
        <v>86.24</v>
      </c>
      <c r="F52" s="13">
        <f t="shared" si="3"/>
        <v>34.5</v>
      </c>
      <c r="G52" s="14">
        <v>76.83</v>
      </c>
      <c r="H52" s="13">
        <f t="shared" si="4"/>
        <v>46.1</v>
      </c>
      <c r="I52" s="13">
        <f t="shared" si="5"/>
        <v>80.6</v>
      </c>
      <c r="J52" s="22">
        <v>2</v>
      </c>
      <c r="K52" s="21"/>
    </row>
    <row r="53" s="2" customFormat="1" customHeight="1" spans="1:11">
      <c r="A53" s="11">
        <v>51</v>
      </c>
      <c r="B53" s="15" t="s">
        <v>84</v>
      </c>
      <c r="C53" s="11" t="str">
        <f>"460033200308144828"</f>
        <v>460033200308144828</v>
      </c>
      <c r="D53" s="15" t="s">
        <v>87</v>
      </c>
      <c r="E53" s="12">
        <v>77.08</v>
      </c>
      <c r="F53" s="13">
        <f t="shared" si="3"/>
        <v>30.83</v>
      </c>
      <c r="G53" s="14">
        <v>82.5</v>
      </c>
      <c r="H53" s="13">
        <f t="shared" si="4"/>
        <v>49.5</v>
      </c>
      <c r="I53" s="13">
        <f t="shared" si="5"/>
        <v>80.33</v>
      </c>
      <c r="J53" s="22">
        <v>3</v>
      </c>
      <c r="K53" s="21"/>
    </row>
    <row r="54" s="2" customFormat="1" customHeight="1" spans="1:11">
      <c r="A54" s="11">
        <v>52</v>
      </c>
      <c r="B54" s="15" t="s">
        <v>84</v>
      </c>
      <c r="C54" s="11" t="str">
        <f>"469023200012042940"</f>
        <v>469023200012042940</v>
      </c>
      <c r="D54" s="15" t="s">
        <v>88</v>
      </c>
      <c r="E54" s="12">
        <v>74.84</v>
      </c>
      <c r="F54" s="13">
        <f t="shared" si="3"/>
        <v>29.94</v>
      </c>
      <c r="G54" s="14">
        <v>83.16</v>
      </c>
      <c r="H54" s="13">
        <f t="shared" si="4"/>
        <v>49.9</v>
      </c>
      <c r="I54" s="13">
        <f t="shared" si="5"/>
        <v>79.84</v>
      </c>
      <c r="J54" s="22">
        <v>4</v>
      </c>
      <c r="K54" s="21"/>
    </row>
    <row r="55" s="2" customFormat="1" customHeight="1" spans="1:11">
      <c r="A55" s="11">
        <v>53</v>
      </c>
      <c r="B55" s="15" t="s">
        <v>84</v>
      </c>
      <c r="C55" s="11" t="str">
        <f>"460102200009233610"</f>
        <v>460102200009233610</v>
      </c>
      <c r="D55" s="15" t="s">
        <v>89</v>
      </c>
      <c r="E55" s="12">
        <v>72.48</v>
      </c>
      <c r="F55" s="13">
        <f t="shared" si="3"/>
        <v>28.99</v>
      </c>
      <c r="G55" s="14">
        <v>82.34</v>
      </c>
      <c r="H55" s="13">
        <f t="shared" si="4"/>
        <v>49.4</v>
      </c>
      <c r="I55" s="13">
        <f t="shared" si="5"/>
        <v>78.39</v>
      </c>
      <c r="J55" s="22">
        <v>5</v>
      </c>
      <c r="K55" s="21"/>
    </row>
    <row r="56" s="2" customFormat="1" customHeight="1" spans="1:11">
      <c r="A56" s="11">
        <v>54</v>
      </c>
      <c r="B56" s="15" t="s">
        <v>84</v>
      </c>
      <c r="C56" s="11" t="str">
        <f>"460033200202264805"</f>
        <v>460033200202264805</v>
      </c>
      <c r="D56" s="15" t="s">
        <v>90</v>
      </c>
      <c r="E56" s="12">
        <v>77.64</v>
      </c>
      <c r="F56" s="13">
        <f t="shared" si="3"/>
        <v>31.06</v>
      </c>
      <c r="G56" s="14">
        <v>78.83</v>
      </c>
      <c r="H56" s="13">
        <f t="shared" si="4"/>
        <v>47.3</v>
      </c>
      <c r="I56" s="13">
        <f t="shared" si="5"/>
        <v>78.36</v>
      </c>
      <c r="J56" s="22">
        <v>6</v>
      </c>
      <c r="K56" s="21"/>
    </row>
    <row r="57" s="2" customFormat="1" customHeight="1" spans="1:11">
      <c r="A57" s="11">
        <v>55</v>
      </c>
      <c r="B57" s="15" t="s">
        <v>84</v>
      </c>
      <c r="C57" s="11" t="str">
        <f>"460006200410198727"</f>
        <v>460006200410198727</v>
      </c>
      <c r="D57" s="15" t="s">
        <v>91</v>
      </c>
      <c r="E57" s="12">
        <v>72.48</v>
      </c>
      <c r="F57" s="13">
        <f t="shared" si="3"/>
        <v>28.99</v>
      </c>
      <c r="G57" s="14">
        <v>82</v>
      </c>
      <c r="H57" s="13">
        <f t="shared" si="4"/>
        <v>49.2</v>
      </c>
      <c r="I57" s="13">
        <f t="shared" si="5"/>
        <v>78.19</v>
      </c>
      <c r="J57" s="22">
        <v>7</v>
      </c>
      <c r="K57" s="21"/>
    </row>
    <row r="58" s="2" customFormat="1" customHeight="1" spans="1:11">
      <c r="A58" s="11">
        <v>56</v>
      </c>
      <c r="B58" s="15" t="s">
        <v>84</v>
      </c>
      <c r="C58" s="11" t="str">
        <f>"460027200005062326"</f>
        <v>460027200005062326</v>
      </c>
      <c r="D58" s="15" t="s">
        <v>92</v>
      </c>
      <c r="E58" s="12">
        <v>72.16</v>
      </c>
      <c r="F58" s="13">
        <f t="shared" si="3"/>
        <v>28.86</v>
      </c>
      <c r="G58" s="14">
        <v>80.84</v>
      </c>
      <c r="H58" s="13">
        <f t="shared" si="4"/>
        <v>48.5</v>
      </c>
      <c r="I58" s="13">
        <f t="shared" si="5"/>
        <v>77.36</v>
      </c>
      <c r="J58" s="22">
        <v>8</v>
      </c>
      <c r="K58" s="21"/>
    </row>
    <row r="59" s="2" customFormat="1" customHeight="1" spans="1:11">
      <c r="A59" s="11">
        <v>57</v>
      </c>
      <c r="B59" s="15" t="s">
        <v>84</v>
      </c>
      <c r="C59" s="11" t="str">
        <f>"460200200206213128"</f>
        <v>460200200206213128</v>
      </c>
      <c r="D59" s="15" t="s">
        <v>93</v>
      </c>
      <c r="E59" s="12">
        <v>77.28</v>
      </c>
      <c r="F59" s="13">
        <f t="shared" si="3"/>
        <v>30.91</v>
      </c>
      <c r="G59" s="14">
        <v>75.33</v>
      </c>
      <c r="H59" s="13">
        <f t="shared" si="4"/>
        <v>45.2</v>
      </c>
      <c r="I59" s="13">
        <f t="shared" si="5"/>
        <v>76.11</v>
      </c>
      <c r="J59" s="22">
        <v>9</v>
      </c>
      <c r="K59" s="21"/>
    </row>
    <row r="60" s="2" customFormat="1" customHeight="1" spans="1:11">
      <c r="A60" s="11">
        <v>58</v>
      </c>
      <c r="B60" s="15" t="s">
        <v>84</v>
      </c>
      <c r="C60" s="11" t="str">
        <f>"469007200010027624"</f>
        <v>469007200010027624</v>
      </c>
      <c r="D60" s="15" t="s">
        <v>94</v>
      </c>
      <c r="E60" s="12">
        <v>72.88</v>
      </c>
      <c r="F60" s="13">
        <f t="shared" si="3"/>
        <v>29.15</v>
      </c>
      <c r="G60" s="14">
        <v>78.17</v>
      </c>
      <c r="H60" s="13">
        <f t="shared" si="4"/>
        <v>46.9</v>
      </c>
      <c r="I60" s="13">
        <f t="shared" si="5"/>
        <v>76.05</v>
      </c>
      <c r="J60" s="22">
        <v>10</v>
      </c>
      <c r="K60" s="21"/>
    </row>
    <row r="61" s="2" customFormat="1" customHeight="1" spans="1:11">
      <c r="A61" s="11">
        <v>59</v>
      </c>
      <c r="B61" s="15" t="s">
        <v>84</v>
      </c>
      <c r="C61" s="11" t="str">
        <f>"469007200403310826"</f>
        <v>469007200403310826</v>
      </c>
      <c r="D61" s="15" t="s">
        <v>95</v>
      </c>
      <c r="E61" s="12">
        <v>83.36</v>
      </c>
      <c r="F61" s="13">
        <f t="shared" si="3"/>
        <v>33.34</v>
      </c>
      <c r="G61" s="14">
        <v>70.84</v>
      </c>
      <c r="H61" s="13">
        <f t="shared" si="4"/>
        <v>42.5</v>
      </c>
      <c r="I61" s="13">
        <f t="shared" si="5"/>
        <v>75.84</v>
      </c>
      <c r="J61" s="22">
        <v>11</v>
      </c>
      <c r="K61" s="21"/>
    </row>
    <row r="62" s="2" customFormat="1" customHeight="1" spans="1:11">
      <c r="A62" s="11">
        <v>60</v>
      </c>
      <c r="B62" s="15" t="s">
        <v>84</v>
      </c>
      <c r="C62" s="11" t="str">
        <f>"460031199906307211"</f>
        <v>460031199906307211</v>
      </c>
      <c r="D62" s="15" t="s">
        <v>96</v>
      </c>
      <c r="E62" s="12">
        <v>71.48</v>
      </c>
      <c r="F62" s="13">
        <f t="shared" si="3"/>
        <v>28.59</v>
      </c>
      <c r="G62" s="14">
        <v>78.5</v>
      </c>
      <c r="H62" s="13">
        <f t="shared" si="4"/>
        <v>47.1</v>
      </c>
      <c r="I62" s="13">
        <f t="shared" si="5"/>
        <v>75.69</v>
      </c>
      <c r="J62" s="22">
        <v>12</v>
      </c>
      <c r="K62" s="21"/>
    </row>
    <row r="63" s="2" customFormat="1" customHeight="1" spans="1:11">
      <c r="A63" s="11">
        <v>61</v>
      </c>
      <c r="B63" s="15" t="s">
        <v>84</v>
      </c>
      <c r="C63" s="11" t="str">
        <f>"46003320011215002X"</f>
        <v>46003320011215002X</v>
      </c>
      <c r="D63" s="15" t="s">
        <v>97</v>
      </c>
      <c r="E63" s="12">
        <v>68.24</v>
      </c>
      <c r="F63" s="13">
        <f t="shared" si="3"/>
        <v>27.3</v>
      </c>
      <c r="G63" s="14">
        <v>80</v>
      </c>
      <c r="H63" s="13">
        <f t="shared" si="4"/>
        <v>48</v>
      </c>
      <c r="I63" s="13">
        <f t="shared" si="5"/>
        <v>75.3</v>
      </c>
      <c r="J63" s="22">
        <v>13</v>
      </c>
      <c r="K63" s="21"/>
    </row>
    <row r="64" s="2" customFormat="1" customHeight="1" spans="1:11">
      <c r="A64" s="11">
        <v>62</v>
      </c>
      <c r="B64" s="15" t="s">
        <v>84</v>
      </c>
      <c r="C64" s="11" t="str">
        <f>"460005200011112328"</f>
        <v>460005200011112328</v>
      </c>
      <c r="D64" s="15" t="s">
        <v>98</v>
      </c>
      <c r="E64" s="12">
        <v>66.92</v>
      </c>
      <c r="F64" s="13">
        <f t="shared" si="3"/>
        <v>26.77</v>
      </c>
      <c r="G64" s="14">
        <v>80.83</v>
      </c>
      <c r="H64" s="13">
        <f t="shared" si="4"/>
        <v>48.5</v>
      </c>
      <c r="I64" s="13">
        <f t="shared" si="5"/>
        <v>75.27</v>
      </c>
      <c r="J64" s="22">
        <v>14</v>
      </c>
      <c r="K64" s="21"/>
    </row>
    <row r="65" s="2" customFormat="1" customHeight="1" spans="1:11">
      <c r="A65" s="11">
        <v>63</v>
      </c>
      <c r="B65" s="11" t="s">
        <v>84</v>
      </c>
      <c r="C65" s="11" t="s">
        <v>99</v>
      </c>
      <c r="D65" s="11" t="str">
        <f>"罗细承"</f>
        <v>罗细承</v>
      </c>
      <c r="E65" s="12">
        <v>72.56</v>
      </c>
      <c r="F65" s="13">
        <f t="shared" si="3"/>
        <v>29.02</v>
      </c>
      <c r="G65" s="14">
        <v>76.84</v>
      </c>
      <c r="H65" s="13">
        <f t="shared" si="4"/>
        <v>46.1</v>
      </c>
      <c r="I65" s="13">
        <f t="shared" si="5"/>
        <v>75.12</v>
      </c>
      <c r="J65" s="22">
        <v>15</v>
      </c>
      <c r="K65" s="21"/>
    </row>
    <row r="66" s="2" customFormat="1" customHeight="1" spans="1:11">
      <c r="A66" s="11">
        <v>64</v>
      </c>
      <c r="B66" s="15" t="s">
        <v>84</v>
      </c>
      <c r="C66" s="11" t="str">
        <f>"460003200010047648"</f>
        <v>460003200010047648</v>
      </c>
      <c r="D66" s="15" t="s">
        <v>100</v>
      </c>
      <c r="E66" s="12">
        <v>75.44</v>
      </c>
      <c r="F66" s="13">
        <f t="shared" si="3"/>
        <v>30.18</v>
      </c>
      <c r="G66" s="14">
        <v>74.83</v>
      </c>
      <c r="H66" s="13">
        <f t="shared" si="4"/>
        <v>44.9</v>
      </c>
      <c r="I66" s="13">
        <f t="shared" si="5"/>
        <v>75.08</v>
      </c>
      <c r="J66" s="22">
        <v>16</v>
      </c>
      <c r="K66" s="21"/>
    </row>
    <row r="67" s="2" customFormat="1" customHeight="1" spans="1:11">
      <c r="A67" s="11">
        <v>65</v>
      </c>
      <c r="B67" s="15" t="s">
        <v>84</v>
      </c>
      <c r="C67" s="11" t="str">
        <f>"460027200312302027"</f>
        <v>460027200312302027</v>
      </c>
      <c r="D67" s="15" t="s">
        <v>101</v>
      </c>
      <c r="E67" s="12">
        <v>74.28</v>
      </c>
      <c r="F67" s="13">
        <f t="shared" ref="F67:F98" si="6">E67*0.4</f>
        <v>29.71</v>
      </c>
      <c r="G67" s="14">
        <v>74.83</v>
      </c>
      <c r="H67" s="13">
        <f t="shared" ref="H67:H98" si="7">G67*0.6</f>
        <v>44.9</v>
      </c>
      <c r="I67" s="13">
        <f t="shared" ref="I67:I98" si="8">H67+F67</f>
        <v>74.61</v>
      </c>
      <c r="J67" s="22">
        <v>17</v>
      </c>
      <c r="K67" s="21"/>
    </row>
    <row r="68" s="2" customFormat="1" customHeight="1" spans="1:11">
      <c r="A68" s="11">
        <v>66</v>
      </c>
      <c r="B68" s="15" t="s">
        <v>84</v>
      </c>
      <c r="C68" s="11" t="str">
        <f>"460028200006185615"</f>
        <v>460028200006185615</v>
      </c>
      <c r="D68" s="15" t="s">
        <v>102</v>
      </c>
      <c r="E68" s="12">
        <v>71.4</v>
      </c>
      <c r="F68" s="13">
        <f t="shared" si="6"/>
        <v>28.56</v>
      </c>
      <c r="G68" s="14">
        <v>76.5</v>
      </c>
      <c r="H68" s="13">
        <f t="shared" si="7"/>
        <v>45.9</v>
      </c>
      <c r="I68" s="13">
        <f t="shared" si="8"/>
        <v>74.46</v>
      </c>
      <c r="J68" s="22">
        <v>18</v>
      </c>
      <c r="K68" s="21"/>
    </row>
    <row r="69" s="2" customFormat="1" customHeight="1" spans="1:11">
      <c r="A69" s="11">
        <v>67</v>
      </c>
      <c r="B69" s="15" t="s">
        <v>84</v>
      </c>
      <c r="C69" s="11" t="str">
        <f>"46900720020320042X"</f>
        <v>46900720020320042X</v>
      </c>
      <c r="D69" s="15" t="s">
        <v>103</v>
      </c>
      <c r="E69" s="12">
        <v>68.48</v>
      </c>
      <c r="F69" s="13">
        <f t="shared" si="6"/>
        <v>27.39</v>
      </c>
      <c r="G69" s="14">
        <v>77.83</v>
      </c>
      <c r="H69" s="13">
        <f t="shared" si="7"/>
        <v>46.7</v>
      </c>
      <c r="I69" s="13">
        <f t="shared" si="8"/>
        <v>74.09</v>
      </c>
      <c r="J69" s="22">
        <v>19</v>
      </c>
      <c r="K69" s="21"/>
    </row>
    <row r="70" s="2" customFormat="1" customHeight="1" spans="1:11">
      <c r="A70" s="11">
        <v>68</v>
      </c>
      <c r="B70" s="15" t="s">
        <v>84</v>
      </c>
      <c r="C70" s="11" t="str">
        <f>"460026200408192428"</f>
        <v>460026200408192428</v>
      </c>
      <c r="D70" s="15" t="s">
        <v>104</v>
      </c>
      <c r="E70" s="12">
        <v>76.32</v>
      </c>
      <c r="F70" s="13">
        <f t="shared" si="6"/>
        <v>30.53</v>
      </c>
      <c r="G70" s="14">
        <v>72.5</v>
      </c>
      <c r="H70" s="13">
        <f t="shared" si="7"/>
        <v>43.5</v>
      </c>
      <c r="I70" s="13">
        <f t="shared" si="8"/>
        <v>74.03</v>
      </c>
      <c r="J70" s="22">
        <v>20</v>
      </c>
      <c r="K70" s="21"/>
    </row>
    <row r="71" s="2" customFormat="1" customHeight="1" spans="1:11">
      <c r="A71" s="11">
        <v>69</v>
      </c>
      <c r="B71" s="15" t="s">
        <v>84</v>
      </c>
      <c r="C71" s="11" t="str">
        <f>"46003320011222448X"</f>
        <v>46003320011222448X</v>
      </c>
      <c r="D71" s="15" t="s">
        <v>105</v>
      </c>
      <c r="E71" s="12">
        <v>78.88</v>
      </c>
      <c r="F71" s="13">
        <f t="shared" si="6"/>
        <v>31.55</v>
      </c>
      <c r="G71" s="14">
        <v>70.33</v>
      </c>
      <c r="H71" s="13">
        <f t="shared" si="7"/>
        <v>42.2</v>
      </c>
      <c r="I71" s="13">
        <f t="shared" si="8"/>
        <v>73.75</v>
      </c>
      <c r="J71" s="22">
        <v>21</v>
      </c>
      <c r="K71" s="21"/>
    </row>
    <row r="72" s="2" customFormat="1" customHeight="1" spans="1:11">
      <c r="A72" s="11">
        <v>70</v>
      </c>
      <c r="B72" s="15" t="s">
        <v>84</v>
      </c>
      <c r="C72" s="11" t="str">
        <f>"460003200106062420"</f>
        <v>460003200106062420</v>
      </c>
      <c r="D72" s="15" t="s">
        <v>106</v>
      </c>
      <c r="E72" s="12">
        <v>66.8</v>
      </c>
      <c r="F72" s="13">
        <f t="shared" si="6"/>
        <v>26.72</v>
      </c>
      <c r="G72" s="14">
        <v>78.34</v>
      </c>
      <c r="H72" s="13">
        <f t="shared" si="7"/>
        <v>47</v>
      </c>
      <c r="I72" s="13">
        <f t="shared" si="8"/>
        <v>73.72</v>
      </c>
      <c r="J72" s="22">
        <v>22</v>
      </c>
      <c r="K72" s="21"/>
    </row>
    <row r="73" s="2" customFormat="1" customHeight="1" spans="1:11">
      <c r="A73" s="11">
        <v>71</v>
      </c>
      <c r="B73" s="15" t="s">
        <v>84</v>
      </c>
      <c r="C73" s="11" t="str">
        <f>"460031200012087227"</f>
        <v>460031200012087227</v>
      </c>
      <c r="D73" s="15" t="s">
        <v>107</v>
      </c>
      <c r="E73" s="12">
        <v>69.56</v>
      </c>
      <c r="F73" s="13">
        <f t="shared" si="6"/>
        <v>27.82</v>
      </c>
      <c r="G73" s="14">
        <v>76.16</v>
      </c>
      <c r="H73" s="13">
        <f t="shared" si="7"/>
        <v>45.7</v>
      </c>
      <c r="I73" s="13">
        <f t="shared" si="8"/>
        <v>73.52</v>
      </c>
      <c r="J73" s="22">
        <v>23</v>
      </c>
      <c r="K73" s="21"/>
    </row>
    <row r="74" s="2" customFormat="1" customHeight="1" spans="1:11">
      <c r="A74" s="11">
        <v>72</v>
      </c>
      <c r="B74" s="15" t="s">
        <v>84</v>
      </c>
      <c r="C74" s="11" t="str">
        <f>"460003200003154066"</f>
        <v>460003200003154066</v>
      </c>
      <c r="D74" s="15" t="s">
        <v>108</v>
      </c>
      <c r="E74" s="12">
        <v>70.56</v>
      </c>
      <c r="F74" s="13">
        <f t="shared" si="6"/>
        <v>28.22</v>
      </c>
      <c r="G74" s="14">
        <v>75.17</v>
      </c>
      <c r="H74" s="13">
        <f t="shared" si="7"/>
        <v>45.1</v>
      </c>
      <c r="I74" s="13">
        <f t="shared" si="8"/>
        <v>73.32</v>
      </c>
      <c r="J74" s="22">
        <v>24</v>
      </c>
      <c r="K74" s="21"/>
    </row>
    <row r="75" s="2" customFormat="1" customHeight="1" spans="1:11">
      <c r="A75" s="11">
        <v>73</v>
      </c>
      <c r="B75" s="15" t="s">
        <v>84</v>
      </c>
      <c r="C75" s="11" t="str">
        <f>"469007200112175820"</f>
        <v>469007200112175820</v>
      </c>
      <c r="D75" s="15" t="s">
        <v>109</v>
      </c>
      <c r="E75" s="12">
        <v>66.48</v>
      </c>
      <c r="F75" s="13">
        <f t="shared" si="6"/>
        <v>26.59</v>
      </c>
      <c r="G75" s="14">
        <v>77.84</v>
      </c>
      <c r="H75" s="13">
        <f t="shared" si="7"/>
        <v>46.7</v>
      </c>
      <c r="I75" s="13">
        <f t="shared" si="8"/>
        <v>73.29</v>
      </c>
      <c r="J75" s="22">
        <v>25</v>
      </c>
      <c r="K75" s="21"/>
    </row>
    <row r="76" s="2" customFormat="1" customHeight="1" spans="1:11">
      <c r="A76" s="11">
        <v>74</v>
      </c>
      <c r="B76" s="15" t="s">
        <v>84</v>
      </c>
      <c r="C76" s="11" t="str">
        <f>"460007200211115366"</f>
        <v>460007200211115366</v>
      </c>
      <c r="D76" s="15" t="s">
        <v>110</v>
      </c>
      <c r="E76" s="12">
        <v>72.72</v>
      </c>
      <c r="F76" s="13">
        <f t="shared" si="6"/>
        <v>29.09</v>
      </c>
      <c r="G76" s="14">
        <v>73.5</v>
      </c>
      <c r="H76" s="13">
        <f t="shared" si="7"/>
        <v>44.1</v>
      </c>
      <c r="I76" s="13">
        <f t="shared" si="8"/>
        <v>73.19</v>
      </c>
      <c r="J76" s="22">
        <v>26</v>
      </c>
      <c r="K76" s="21"/>
    </row>
    <row r="77" s="2" customFormat="1" customHeight="1" spans="1:11">
      <c r="A77" s="11">
        <v>75</v>
      </c>
      <c r="B77" s="15" t="s">
        <v>84</v>
      </c>
      <c r="C77" s="11" t="str">
        <f>"460200200103164909"</f>
        <v>460200200103164909</v>
      </c>
      <c r="D77" s="15" t="s">
        <v>111</v>
      </c>
      <c r="E77" s="12">
        <v>67.68</v>
      </c>
      <c r="F77" s="13">
        <f t="shared" si="6"/>
        <v>27.07</v>
      </c>
      <c r="G77" s="14">
        <v>75.5</v>
      </c>
      <c r="H77" s="13">
        <f t="shared" si="7"/>
        <v>45.3</v>
      </c>
      <c r="I77" s="13">
        <f t="shared" si="8"/>
        <v>72.37</v>
      </c>
      <c r="J77" s="22">
        <v>27</v>
      </c>
      <c r="K77" s="21"/>
    </row>
    <row r="78" s="2" customFormat="1" customHeight="1" spans="1:11">
      <c r="A78" s="11">
        <v>76</v>
      </c>
      <c r="B78" s="15" t="s">
        <v>84</v>
      </c>
      <c r="C78" s="11" t="str">
        <f>"469028200110100413"</f>
        <v>469028200110100413</v>
      </c>
      <c r="D78" s="15" t="s">
        <v>112</v>
      </c>
      <c r="E78" s="12">
        <v>67.16</v>
      </c>
      <c r="F78" s="13">
        <f t="shared" si="6"/>
        <v>26.86</v>
      </c>
      <c r="G78" s="14">
        <v>75.5</v>
      </c>
      <c r="H78" s="13">
        <f t="shared" si="7"/>
        <v>45.3</v>
      </c>
      <c r="I78" s="13">
        <f t="shared" si="8"/>
        <v>72.16</v>
      </c>
      <c r="J78" s="22">
        <v>28</v>
      </c>
      <c r="K78" s="21"/>
    </row>
    <row r="79" s="2" customFormat="1" customHeight="1" spans="1:11">
      <c r="A79" s="11">
        <v>77</v>
      </c>
      <c r="B79" s="15" t="s">
        <v>84</v>
      </c>
      <c r="C79" s="11" t="str">
        <f>"469006200302014829"</f>
        <v>469006200302014829</v>
      </c>
      <c r="D79" s="15" t="s">
        <v>113</v>
      </c>
      <c r="E79" s="12">
        <v>69.6</v>
      </c>
      <c r="F79" s="13">
        <f t="shared" si="6"/>
        <v>27.84</v>
      </c>
      <c r="G79" s="14">
        <v>73.83</v>
      </c>
      <c r="H79" s="13">
        <f t="shared" si="7"/>
        <v>44.3</v>
      </c>
      <c r="I79" s="13">
        <f t="shared" si="8"/>
        <v>72.14</v>
      </c>
      <c r="J79" s="22">
        <v>29</v>
      </c>
      <c r="K79" s="21"/>
    </row>
    <row r="80" s="2" customFormat="1" customHeight="1" spans="1:11">
      <c r="A80" s="11">
        <v>78</v>
      </c>
      <c r="B80" s="15" t="s">
        <v>84</v>
      </c>
      <c r="C80" s="11" t="str">
        <f>"460004200011202028"</f>
        <v>460004200011202028</v>
      </c>
      <c r="D80" s="15" t="s">
        <v>114</v>
      </c>
      <c r="E80" s="12">
        <v>67.36</v>
      </c>
      <c r="F80" s="13">
        <f t="shared" si="6"/>
        <v>26.94</v>
      </c>
      <c r="G80" s="14">
        <v>75.17</v>
      </c>
      <c r="H80" s="13">
        <f t="shared" si="7"/>
        <v>45.1</v>
      </c>
      <c r="I80" s="13">
        <f t="shared" si="8"/>
        <v>72.04</v>
      </c>
      <c r="J80" s="22">
        <v>30</v>
      </c>
      <c r="K80" s="21"/>
    </row>
    <row r="81" s="2" customFormat="1" customHeight="1" spans="1:11">
      <c r="A81" s="11">
        <v>79</v>
      </c>
      <c r="B81" s="15" t="s">
        <v>84</v>
      </c>
      <c r="C81" s="11" t="str">
        <f>"469003200101211923"</f>
        <v>469003200101211923</v>
      </c>
      <c r="D81" s="15" t="s">
        <v>115</v>
      </c>
      <c r="E81" s="12">
        <v>73.88</v>
      </c>
      <c r="F81" s="13">
        <f t="shared" si="6"/>
        <v>29.55</v>
      </c>
      <c r="G81" s="14">
        <v>70.67</v>
      </c>
      <c r="H81" s="13">
        <f t="shared" si="7"/>
        <v>42.4</v>
      </c>
      <c r="I81" s="13">
        <f t="shared" si="8"/>
        <v>71.95</v>
      </c>
      <c r="J81" s="22">
        <v>31</v>
      </c>
      <c r="K81" s="21"/>
    </row>
    <row r="82" s="2" customFormat="1" customHeight="1" spans="1:11">
      <c r="A82" s="11">
        <v>80</v>
      </c>
      <c r="B82" s="15" t="s">
        <v>84</v>
      </c>
      <c r="C82" s="11" t="str">
        <f>"469002200011074121"</f>
        <v>469002200011074121</v>
      </c>
      <c r="D82" s="15" t="s">
        <v>116</v>
      </c>
      <c r="E82" s="12">
        <v>65.8</v>
      </c>
      <c r="F82" s="13">
        <f t="shared" si="6"/>
        <v>26.32</v>
      </c>
      <c r="G82" s="14">
        <v>75.83</v>
      </c>
      <c r="H82" s="13">
        <f t="shared" si="7"/>
        <v>45.5</v>
      </c>
      <c r="I82" s="13">
        <f t="shared" si="8"/>
        <v>71.82</v>
      </c>
      <c r="J82" s="22">
        <v>32</v>
      </c>
      <c r="K82" s="21"/>
    </row>
    <row r="83" s="2" customFormat="1" customHeight="1" spans="1:11">
      <c r="A83" s="11">
        <v>81</v>
      </c>
      <c r="B83" s="15" t="s">
        <v>84</v>
      </c>
      <c r="C83" s="11" t="str">
        <f>"460007200010075804"</f>
        <v>460007200010075804</v>
      </c>
      <c r="D83" s="15" t="s">
        <v>117</v>
      </c>
      <c r="E83" s="12">
        <v>68.12</v>
      </c>
      <c r="F83" s="13">
        <f t="shared" si="6"/>
        <v>27.25</v>
      </c>
      <c r="G83" s="14">
        <v>74</v>
      </c>
      <c r="H83" s="13">
        <f t="shared" si="7"/>
        <v>44.4</v>
      </c>
      <c r="I83" s="13">
        <f t="shared" si="8"/>
        <v>71.65</v>
      </c>
      <c r="J83" s="22">
        <v>33</v>
      </c>
      <c r="K83" s="21"/>
    </row>
    <row r="84" s="2" customFormat="1" customHeight="1" spans="1:11">
      <c r="A84" s="11">
        <v>82</v>
      </c>
      <c r="B84" s="15" t="s">
        <v>84</v>
      </c>
      <c r="C84" s="11" t="str">
        <f>"460033200105273224"</f>
        <v>460033200105273224</v>
      </c>
      <c r="D84" s="15" t="s">
        <v>118</v>
      </c>
      <c r="E84" s="12">
        <v>70.72</v>
      </c>
      <c r="F84" s="13">
        <f t="shared" si="6"/>
        <v>28.29</v>
      </c>
      <c r="G84" s="14">
        <v>71.83</v>
      </c>
      <c r="H84" s="13">
        <f t="shared" si="7"/>
        <v>43.1</v>
      </c>
      <c r="I84" s="13">
        <f t="shared" si="8"/>
        <v>71.39</v>
      </c>
      <c r="J84" s="22">
        <v>34</v>
      </c>
      <c r="K84" s="21"/>
    </row>
    <row r="85" s="2" customFormat="1" customHeight="1" spans="1:11">
      <c r="A85" s="11">
        <v>83</v>
      </c>
      <c r="B85" s="15" t="s">
        <v>84</v>
      </c>
      <c r="C85" s="11" t="str">
        <f>"460007200011095006"</f>
        <v>460007200011095006</v>
      </c>
      <c r="D85" s="15" t="s">
        <v>119</v>
      </c>
      <c r="E85" s="12">
        <v>67.48</v>
      </c>
      <c r="F85" s="13">
        <f t="shared" si="6"/>
        <v>26.99</v>
      </c>
      <c r="G85" s="14">
        <v>73.83</v>
      </c>
      <c r="H85" s="13">
        <f t="shared" si="7"/>
        <v>44.3</v>
      </c>
      <c r="I85" s="13">
        <f t="shared" si="8"/>
        <v>71.29</v>
      </c>
      <c r="J85" s="22">
        <v>35</v>
      </c>
      <c r="K85" s="21"/>
    </row>
    <row r="86" s="2" customFormat="1" customHeight="1" spans="1:11">
      <c r="A86" s="11">
        <v>84</v>
      </c>
      <c r="B86" s="15" t="s">
        <v>84</v>
      </c>
      <c r="C86" s="11" t="str">
        <f>"460033199904206583"</f>
        <v>460033199904206583</v>
      </c>
      <c r="D86" s="15" t="s">
        <v>120</v>
      </c>
      <c r="E86" s="12">
        <v>68.56</v>
      </c>
      <c r="F86" s="13">
        <f t="shared" si="6"/>
        <v>27.42</v>
      </c>
      <c r="G86" s="14">
        <v>73</v>
      </c>
      <c r="H86" s="13">
        <f t="shared" si="7"/>
        <v>43.8</v>
      </c>
      <c r="I86" s="13">
        <f t="shared" si="8"/>
        <v>71.22</v>
      </c>
      <c r="J86" s="22">
        <v>36</v>
      </c>
      <c r="K86" s="21"/>
    </row>
    <row r="87" s="2" customFormat="1" customHeight="1" spans="1:11">
      <c r="A87" s="11">
        <v>85</v>
      </c>
      <c r="B87" s="15" t="s">
        <v>84</v>
      </c>
      <c r="C87" s="11" t="str">
        <f>"460001200212160021"</f>
        <v>460001200212160021</v>
      </c>
      <c r="D87" s="15" t="s">
        <v>121</v>
      </c>
      <c r="E87" s="12">
        <v>68.04</v>
      </c>
      <c r="F87" s="13">
        <f t="shared" si="6"/>
        <v>27.22</v>
      </c>
      <c r="G87" s="14">
        <v>73.16</v>
      </c>
      <c r="H87" s="13">
        <f t="shared" si="7"/>
        <v>43.9</v>
      </c>
      <c r="I87" s="13">
        <f t="shared" si="8"/>
        <v>71.12</v>
      </c>
      <c r="J87" s="22">
        <v>37</v>
      </c>
      <c r="K87" s="21"/>
    </row>
    <row r="88" s="2" customFormat="1" customHeight="1" spans="1:11">
      <c r="A88" s="11">
        <v>86</v>
      </c>
      <c r="B88" s="15" t="s">
        <v>84</v>
      </c>
      <c r="C88" s="11" t="str">
        <f>"469027200207028343"</f>
        <v>469027200207028343</v>
      </c>
      <c r="D88" s="15" t="s">
        <v>122</v>
      </c>
      <c r="E88" s="12">
        <v>67.04</v>
      </c>
      <c r="F88" s="13">
        <f t="shared" si="6"/>
        <v>26.82</v>
      </c>
      <c r="G88" s="14">
        <v>73.83</v>
      </c>
      <c r="H88" s="13">
        <f t="shared" si="7"/>
        <v>44.3</v>
      </c>
      <c r="I88" s="13">
        <f t="shared" si="8"/>
        <v>71.12</v>
      </c>
      <c r="J88" s="22">
        <v>37</v>
      </c>
      <c r="K88" s="21"/>
    </row>
    <row r="89" s="2" customFormat="1" customHeight="1" spans="1:11">
      <c r="A89" s="11">
        <v>87</v>
      </c>
      <c r="B89" s="15" t="s">
        <v>84</v>
      </c>
      <c r="C89" s="11" t="str">
        <f>"460033200206284862"</f>
        <v>460033200206284862</v>
      </c>
      <c r="D89" s="15" t="s">
        <v>123</v>
      </c>
      <c r="E89" s="12">
        <v>66</v>
      </c>
      <c r="F89" s="13">
        <f t="shared" si="6"/>
        <v>26.4</v>
      </c>
      <c r="G89" s="14">
        <v>74.5</v>
      </c>
      <c r="H89" s="13">
        <f t="shared" si="7"/>
        <v>44.7</v>
      </c>
      <c r="I89" s="13">
        <f t="shared" si="8"/>
        <v>71.1</v>
      </c>
      <c r="J89" s="22">
        <v>39</v>
      </c>
      <c r="K89" s="21"/>
    </row>
    <row r="90" s="2" customFormat="1" customHeight="1" spans="1:11">
      <c r="A90" s="11">
        <v>88</v>
      </c>
      <c r="B90" s="15" t="s">
        <v>84</v>
      </c>
      <c r="C90" s="11" t="str">
        <f>"460003200105172230"</f>
        <v>460003200105172230</v>
      </c>
      <c r="D90" s="15" t="s">
        <v>124</v>
      </c>
      <c r="E90" s="12">
        <v>70.92</v>
      </c>
      <c r="F90" s="13">
        <f t="shared" si="6"/>
        <v>28.37</v>
      </c>
      <c r="G90" s="14">
        <v>71.17</v>
      </c>
      <c r="H90" s="13">
        <f t="shared" si="7"/>
        <v>42.7</v>
      </c>
      <c r="I90" s="13">
        <f t="shared" si="8"/>
        <v>71.07</v>
      </c>
      <c r="J90" s="22">
        <v>40</v>
      </c>
      <c r="K90" s="21"/>
    </row>
    <row r="91" s="2" customFormat="1" customHeight="1" spans="1:11">
      <c r="A91" s="11">
        <v>89</v>
      </c>
      <c r="B91" s="15" t="s">
        <v>84</v>
      </c>
      <c r="C91" s="11" t="str">
        <f>"469027200405043624"</f>
        <v>469027200405043624</v>
      </c>
      <c r="D91" s="15" t="s">
        <v>125</v>
      </c>
      <c r="E91" s="12">
        <v>71.52</v>
      </c>
      <c r="F91" s="13">
        <f t="shared" si="6"/>
        <v>28.61</v>
      </c>
      <c r="G91" s="14">
        <v>70.66</v>
      </c>
      <c r="H91" s="13">
        <f t="shared" si="7"/>
        <v>42.4</v>
      </c>
      <c r="I91" s="13">
        <f t="shared" si="8"/>
        <v>71.01</v>
      </c>
      <c r="J91" s="22">
        <v>41</v>
      </c>
      <c r="K91" s="21"/>
    </row>
    <row r="92" s="2" customFormat="1" customHeight="1" spans="1:11">
      <c r="A92" s="11">
        <v>90</v>
      </c>
      <c r="B92" s="15" t="s">
        <v>84</v>
      </c>
      <c r="C92" s="11" t="str">
        <f>"460028199911178022"</f>
        <v>460028199911178022</v>
      </c>
      <c r="D92" s="15" t="s">
        <v>126</v>
      </c>
      <c r="E92" s="12">
        <v>71.84</v>
      </c>
      <c r="F92" s="13">
        <f t="shared" si="6"/>
        <v>28.74</v>
      </c>
      <c r="G92" s="14">
        <v>70.33</v>
      </c>
      <c r="H92" s="13">
        <f t="shared" si="7"/>
        <v>42.2</v>
      </c>
      <c r="I92" s="13">
        <f t="shared" si="8"/>
        <v>70.94</v>
      </c>
      <c r="J92" s="22">
        <v>42</v>
      </c>
      <c r="K92" s="21"/>
    </row>
    <row r="93" s="2" customFormat="1" customHeight="1" spans="1:11">
      <c r="A93" s="11">
        <v>91</v>
      </c>
      <c r="B93" s="15" t="s">
        <v>84</v>
      </c>
      <c r="C93" s="11" t="str">
        <f>"460003200103040023"</f>
        <v>460003200103040023</v>
      </c>
      <c r="D93" s="15" t="s">
        <v>127</v>
      </c>
      <c r="E93" s="12">
        <v>66.2</v>
      </c>
      <c r="F93" s="13">
        <f t="shared" si="6"/>
        <v>26.48</v>
      </c>
      <c r="G93" s="14">
        <v>74</v>
      </c>
      <c r="H93" s="13">
        <f t="shared" si="7"/>
        <v>44.4</v>
      </c>
      <c r="I93" s="13">
        <f t="shared" si="8"/>
        <v>70.88</v>
      </c>
      <c r="J93" s="22">
        <v>43</v>
      </c>
      <c r="K93" s="21"/>
    </row>
    <row r="94" s="2" customFormat="1" customHeight="1" spans="1:11">
      <c r="A94" s="11">
        <v>92</v>
      </c>
      <c r="B94" s="15" t="s">
        <v>84</v>
      </c>
      <c r="C94" s="11" t="str">
        <f>"460003200112242268"</f>
        <v>460003200112242268</v>
      </c>
      <c r="D94" s="15" t="s">
        <v>128</v>
      </c>
      <c r="E94" s="12">
        <v>67.28</v>
      </c>
      <c r="F94" s="13">
        <f t="shared" si="6"/>
        <v>26.91</v>
      </c>
      <c r="G94" s="14">
        <v>73.16</v>
      </c>
      <c r="H94" s="13">
        <f t="shared" si="7"/>
        <v>43.9</v>
      </c>
      <c r="I94" s="13">
        <f t="shared" si="8"/>
        <v>70.81</v>
      </c>
      <c r="J94" s="22">
        <v>44</v>
      </c>
      <c r="K94" s="21"/>
    </row>
    <row r="95" s="2" customFormat="1" customHeight="1" spans="1:11">
      <c r="A95" s="11">
        <v>93</v>
      </c>
      <c r="B95" s="11" t="s">
        <v>84</v>
      </c>
      <c r="C95" s="11" t="s">
        <v>129</v>
      </c>
      <c r="D95" s="11" t="str">
        <f>"刘晓娟"</f>
        <v>刘晓娟</v>
      </c>
      <c r="E95" s="12">
        <v>72.08</v>
      </c>
      <c r="F95" s="13">
        <f t="shared" si="6"/>
        <v>28.83</v>
      </c>
      <c r="G95" s="14">
        <v>69.76</v>
      </c>
      <c r="H95" s="13">
        <f t="shared" si="7"/>
        <v>41.86</v>
      </c>
      <c r="I95" s="13">
        <f t="shared" si="8"/>
        <v>70.69</v>
      </c>
      <c r="J95" s="22">
        <v>45</v>
      </c>
      <c r="K95" s="21"/>
    </row>
    <row r="96" s="2" customFormat="1" customHeight="1" spans="1:11">
      <c r="A96" s="11">
        <v>94</v>
      </c>
      <c r="B96" s="15" t="s">
        <v>84</v>
      </c>
      <c r="C96" s="11" t="str">
        <f>"460033200203158342"</f>
        <v>460033200203158342</v>
      </c>
      <c r="D96" s="15" t="s">
        <v>130</v>
      </c>
      <c r="E96" s="12">
        <v>67.16</v>
      </c>
      <c r="F96" s="13">
        <f t="shared" si="6"/>
        <v>26.86</v>
      </c>
      <c r="G96" s="14">
        <v>72.66</v>
      </c>
      <c r="H96" s="13">
        <f t="shared" si="7"/>
        <v>43.6</v>
      </c>
      <c r="I96" s="13">
        <f t="shared" si="8"/>
        <v>70.46</v>
      </c>
      <c r="J96" s="22">
        <v>46</v>
      </c>
      <c r="K96" s="21"/>
    </row>
    <row r="97" s="2" customFormat="1" customHeight="1" spans="1:11">
      <c r="A97" s="11">
        <v>95</v>
      </c>
      <c r="B97" s="15" t="s">
        <v>84</v>
      </c>
      <c r="C97" s="11" t="str">
        <f>"46000320000625242X"</f>
        <v>46000320000625242X</v>
      </c>
      <c r="D97" s="15" t="s">
        <v>131</v>
      </c>
      <c r="E97" s="12">
        <v>73.96</v>
      </c>
      <c r="F97" s="13">
        <f t="shared" si="6"/>
        <v>29.58</v>
      </c>
      <c r="G97" s="14">
        <v>68</v>
      </c>
      <c r="H97" s="13">
        <f t="shared" si="7"/>
        <v>40.8</v>
      </c>
      <c r="I97" s="13">
        <f t="shared" si="8"/>
        <v>70.38</v>
      </c>
      <c r="J97" s="22">
        <v>47</v>
      </c>
      <c r="K97" s="21"/>
    </row>
    <row r="98" s="2" customFormat="1" customHeight="1" spans="1:11">
      <c r="A98" s="11">
        <v>96</v>
      </c>
      <c r="B98" s="11" t="s">
        <v>84</v>
      </c>
      <c r="C98" s="11" t="s">
        <v>132</v>
      </c>
      <c r="D98" s="11" t="str">
        <f>"梁家欣"</f>
        <v>梁家欣</v>
      </c>
      <c r="E98" s="12">
        <v>72.28</v>
      </c>
      <c r="F98" s="13">
        <f t="shared" si="6"/>
        <v>28.91</v>
      </c>
      <c r="G98" s="14">
        <v>68.84</v>
      </c>
      <c r="H98" s="13">
        <f t="shared" si="7"/>
        <v>41.3</v>
      </c>
      <c r="I98" s="13">
        <f t="shared" si="8"/>
        <v>70.21</v>
      </c>
      <c r="J98" s="22">
        <v>48</v>
      </c>
      <c r="K98" s="21"/>
    </row>
    <row r="99" s="2" customFormat="1" customHeight="1" spans="1:11">
      <c r="A99" s="11">
        <v>97</v>
      </c>
      <c r="B99" s="15" t="s">
        <v>84</v>
      </c>
      <c r="C99" s="11" t="str">
        <f>"460033200302244828"</f>
        <v>460033200302244828</v>
      </c>
      <c r="D99" s="15" t="s">
        <v>133</v>
      </c>
      <c r="E99" s="12">
        <v>80.56</v>
      </c>
      <c r="F99" s="13">
        <f t="shared" ref="F99:F130" si="9">E99*0.4</f>
        <v>32.22</v>
      </c>
      <c r="G99" s="14">
        <v>63.17</v>
      </c>
      <c r="H99" s="13">
        <f t="shared" ref="H99:H130" si="10">G99*0.6</f>
        <v>37.9</v>
      </c>
      <c r="I99" s="13">
        <f t="shared" ref="I99:I130" si="11">H99+F99</f>
        <v>70.12</v>
      </c>
      <c r="J99" s="22">
        <v>49</v>
      </c>
      <c r="K99" s="21"/>
    </row>
    <row r="100" s="2" customFormat="1" customHeight="1" spans="1:11">
      <c r="A100" s="11">
        <v>98</v>
      </c>
      <c r="B100" s="15" t="s">
        <v>84</v>
      </c>
      <c r="C100" s="11" t="str">
        <f>"460003200010152640"</f>
        <v>460003200010152640</v>
      </c>
      <c r="D100" s="15" t="s">
        <v>134</v>
      </c>
      <c r="E100" s="12">
        <v>66.8</v>
      </c>
      <c r="F100" s="13">
        <f t="shared" si="9"/>
        <v>26.72</v>
      </c>
      <c r="G100" s="14">
        <v>72.33</v>
      </c>
      <c r="H100" s="13">
        <f t="shared" si="10"/>
        <v>43.4</v>
      </c>
      <c r="I100" s="13">
        <f t="shared" si="11"/>
        <v>70.12</v>
      </c>
      <c r="J100" s="22">
        <v>49</v>
      </c>
      <c r="K100" s="21"/>
    </row>
    <row r="101" s="2" customFormat="1" customHeight="1" spans="1:11">
      <c r="A101" s="11">
        <v>99</v>
      </c>
      <c r="B101" s="15" t="s">
        <v>84</v>
      </c>
      <c r="C101" s="11" t="str">
        <f>"460033200005213881"</f>
        <v>460033200005213881</v>
      </c>
      <c r="D101" s="15" t="s">
        <v>135</v>
      </c>
      <c r="E101" s="12">
        <v>73.72</v>
      </c>
      <c r="F101" s="13">
        <f t="shared" si="9"/>
        <v>29.49</v>
      </c>
      <c r="G101" s="14">
        <v>67.5</v>
      </c>
      <c r="H101" s="13">
        <f t="shared" si="10"/>
        <v>40.5</v>
      </c>
      <c r="I101" s="13">
        <f t="shared" si="11"/>
        <v>69.99</v>
      </c>
      <c r="J101" s="22">
        <v>51</v>
      </c>
      <c r="K101" s="21"/>
    </row>
    <row r="102" s="2" customFormat="1" customHeight="1" spans="1:11">
      <c r="A102" s="11">
        <v>100</v>
      </c>
      <c r="B102" s="15" t="s">
        <v>84</v>
      </c>
      <c r="C102" s="11" t="str">
        <f>"469002200109244926"</f>
        <v>469002200109244926</v>
      </c>
      <c r="D102" s="15" t="s">
        <v>136</v>
      </c>
      <c r="E102" s="12">
        <v>68.64</v>
      </c>
      <c r="F102" s="13">
        <f t="shared" si="9"/>
        <v>27.46</v>
      </c>
      <c r="G102" s="14">
        <v>70.83</v>
      </c>
      <c r="H102" s="13">
        <f t="shared" si="10"/>
        <v>42.5</v>
      </c>
      <c r="I102" s="13">
        <f t="shared" si="11"/>
        <v>69.96</v>
      </c>
      <c r="J102" s="22">
        <v>52</v>
      </c>
      <c r="K102" s="21"/>
    </row>
    <row r="103" s="2" customFormat="1" customHeight="1" spans="1:11">
      <c r="A103" s="11">
        <v>101</v>
      </c>
      <c r="B103" s="11" t="s">
        <v>84</v>
      </c>
      <c r="C103" s="11" t="s">
        <v>137</v>
      </c>
      <c r="D103" s="11" t="str">
        <f>"胡籍方"</f>
        <v>胡籍方</v>
      </c>
      <c r="E103" s="12">
        <v>66.24</v>
      </c>
      <c r="F103" s="13">
        <f t="shared" si="9"/>
        <v>26.5</v>
      </c>
      <c r="G103" s="14">
        <v>72.34</v>
      </c>
      <c r="H103" s="13">
        <f t="shared" si="10"/>
        <v>43.4</v>
      </c>
      <c r="I103" s="13">
        <f t="shared" si="11"/>
        <v>69.9</v>
      </c>
      <c r="J103" s="22">
        <v>53</v>
      </c>
      <c r="K103" s="21"/>
    </row>
    <row r="104" s="2" customFormat="1" customHeight="1" spans="1:11">
      <c r="A104" s="11">
        <v>102</v>
      </c>
      <c r="B104" s="15" t="s">
        <v>84</v>
      </c>
      <c r="C104" s="11" t="str">
        <f>"460105199909137126"</f>
        <v>460105199909137126</v>
      </c>
      <c r="D104" s="15" t="s">
        <v>138</v>
      </c>
      <c r="E104" s="12">
        <v>78.76</v>
      </c>
      <c r="F104" s="13">
        <f t="shared" si="9"/>
        <v>31.5</v>
      </c>
      <c r="G104" s="14">
        <v>63.83</v>
      </c>
      <c r="H104" s="13">
        <f t="shared" si="10"/>
        <v>38.3</v>
      </c>
      <c r="I104" s="13">
        <f t="shared" si="11"/>
        <v>69.8</v>
      </c>
      <c r="J104" s="22">
        <v>54</v>
      </c>
      <c r="K104" s="21"/>
    </row>
    <row r="105" s="2" customFormat="1" customHeight="1" spans="1:11">
      <c r="A105" s="11">
        <v>103</v>
      </c>
      <c r="B105" s="15" t="s">
        <v>84</v>
      </c>
      <c r="C105" s="11" t="str">
        <f>"469003200406085024"</f>
        <v>469003200406085024</v>
      </c>
      <c r="D105" s="15" t="s">
        <v>139</v>
      </c>
      <c r="E105" s="12">
        <v>69.72</v>
      </c>
      <c r="F105" s="13">
        <f t="shared" si="9"/>
        <v>27.89</v>
      </c>
      <c r="G105" s="14">
        <v>69.67</v>
      </c>
      <c r="H105" s="13">
        <f t="shared" si="10"/>
        <v>41.8</v>
      </c>
      <c r="I105" s="13">
        <f t="shared" si="11"/>
        <v>69.69</v>
      </c>
      <c r="J105" s="22">
        <v>55</v>
      </c>
      <c r="K105" s="21"/>
    </row>
    <row r="106" s="2" customFormat="1" customHeight="1" spans="1:11">
      <c r="A106" s="11">
        <v>104</v>
      </c>
      <c r="B106" s="15" t="s">
        <v>84</v>
      </c>
      <c r="C106" s="11" t="str">
        <f>"460034200211231526"</f>
        <v>460034200211231526</v>
      </c>
      <c r="D106" s="15" t="s">
        <v>140</v>
      </c>
      <c r="E106" s="12">
        <v>72.08</v>
      </c>
      <c r="F106" s="13">
        <f t="shared" si="9"/>
        <v>28.83</v>
      </c>
      <c r="G106" s="14">
        <v>67.67</v>
      </c>
      <c r="H106" s="13">
        <f t="shared" si="10"/>
        <v>40.6</v>
      </c>
      <c r="I106" s="13">
        <f t="shared" si="11"/>
        <v>69.43</v>
      </c>
      <c r="J106" s="22">
        <v>56</v>
      </c>
      <c r="K106" s="21"/>
    </row>
    <row r="107" s="2" customFormat="1" customHeight="1" spans="1:11">
      <c r="A107" s="11">
        <v>105</v>
      </c>
      <c r="B107" s="15" t="s">
        <v>84</v>
      </c>
      <c r="C107" s="11" t="str">
        <f>"460030200012254228"</f>
        <v>460030200012254228</v>
      </c>
      <c r="D107" s="15" t="s">
        <v>141</v>
      </c>
      <c r="E107" s="12">
        <v>73.72</v>
      </c>
      <c r="F107" s="13">
        <f t="shared" si="9"/>
        <v>29.49</v>
      </c>
      <c r="G107" s="14">
        <v>66.5</v>
      </c>
      <c r="H107" s="13">
        <f t="shared" si="10"/>
        <v>39.9</v>
      </c>
      <c r="I107" s="13">
        <f t="shared" si="11"/>
        <v>69.39</v>
      </c>
      <c r="J107" s="22">
        <v>57</v>
      </c>
      <c r="K107" s="21"/>
    </row>
    <row r="108" s="2" customFormat="1" customHeight="1" spans="1:11">
      <c r="A108" s="11">
        <v>106</v>
      </c>
      <c r="B108" s="15" t="s">
        <v>84</v>
      </c>
      <c r="C108" s="11" t="str">
        <f>"460033200104203267"</f>
        <v>460033200104203267</v>
      </c>
      <c r="D108" s="15" t="s">
        <v>142</v>
      </c>
      <c r="E108" s="12">
        <v>67.2</v>
      </c>
      <c r="F108" s="13">
        <f t="shared" si="9"/>
        <v>26.88</v>
      </c>
      <c r="G108" s="14">
        <v>70.84</v>
      </c>
      <c r="H108" s="13">
        <f t="shared" si="10"/>
        <v>42.5</v>
      </c>
      <c r="I108" s="13">
        <f t="shared" si="11"/>
        <v>69.38</v>
      </c>
      <c r="J108" s="22">
        <v>58</v>
      </c>
      <c r="K108" s="21"/>
    </row>
    <row r="109" s="2" customFormat="1" customHeight="1" spans="1:11">
      <c r="A109" s="11">
        <v>107</v>
      </c>
      <c r="B109" s="15" t="s">
        <v>84</v>
      </c>
      <c r="C109" s="11" t="str">
        <f>"460005200306103226"</f>
        <v>460005200306103226</v>
      </c>
      <c r="D109" s="15" t="s">
        <v>143</v>
      </c>
      <c r="E109" s="12">
        <v>75.84</v>
      </c>
      <c r="F109" s="13">
        <f t="shared" si="9"/>
        <v>30.34</v>
      </c>
      <c r="G109" s="14">
        <v>65</v>
      </c>
      <c r="H109" s="13">
        <f t="shared" si="10"/>
        <v>39</v>
      </c>
      <c r="I109" s="13">
        <f t="shared" si="11"/>
        <v>69.34</v>
      </c>
      <c r="J109" s="22">
        <v>59</v>
      </c>
      <c r="K109" s="21"/>
    </row>
    <row r="110" s="2" customFormat="1" customHeight="1" spans="1:11">
      <c r="A110" s="11">
        <v>108</v>
      </c>
      <c r="B110" s="15" t="s">
        <v>84</v>
      </c>
      <c r="C110" s="11" t="str">
        <f>"460003200204132023"</f>
        <v>460003200204132023</v>
      </c>
      <c r="D110" s="15" t="s">
        <v>144</v>
      </c>
      <c r="E110" s="12">
        <v>69.36</v>
      </c>
      <c r="F110" s="13">
        <f t="shared" si="9"/>
        <v>27.74</v>
      </c>
      <c r="G110" s="14">
        <v>69.34</v>
      </c>
      <c r="H110" s="13">
        <f t="shared" si="10"/>
        <v>41.6</v>
      </c>
      <c r="I110" s="13">
        <f t="shared" si="11"/>
        <v>69.34</v>
      </c>
      <c r="J110" s="22">
        <v>59</v>
      </c>
      <c r="K110" s="21"/>
    </row>
    <row r="111" s="2" customFormat="1" customHeight="1" spans="1:11">
      <c r="A111" s="11">
        <v>109</v>
      </c>
      <c r="B111" s="15" t="s">
        <v>84</v>
      </c>
      <c r="C111" s="11" t="str">
        <f>"460033200209263266"</f>
        <v>460033200209263266</v>
      </c>
      <c r="D111" s="15" t="s">
        <v>145</v>
      </c>
      <c r="E111" s="12">
        <v>70.28</v>
      </c>
      <c r="F111" s="13">
        <f t="shared" si="9"/>
        <v>28.11</v>
      </c>
      <c r="G111" s="14">
        <v>68.33</v>
      </c>
      <c r="H111" s="13">
        <f t="shared" si="10"/>
        <v>41</v>
      </c>
      <c r="I111" s="13">
        <f t="shared" si="11"/>
        <v>69.11</v>
      </c>
      <c r="J111" s="22">
        <v>61</v>
      </c>
      <c r="K111" s="21"/>
    </row>
    <row r="112" s="2" customFormat="1" customHeight="1" spans="1:11">
      <c r="A112" s="11">
        <v>110</v>
      </c>
      <c r="B112" s="15" t="s">
        <v>84</v>
      </c>
      <c r="C112" s="11" t="str">
        <f>"46902420000301002X"</f>
        <v>46902420000301002X</v>
      </c>
      <c r="D112" s="15" t="s">
        <v>146</v>
      </c>
      <c r="E112" s="12">
        <v>72.2</v>
      </c>
      <c r="F112" s="13">
        <f t="shared" si="9"/>
        <v>28.88</v>
      </c>
      <c r="G112" s="14">
        <v>66.66</v>
      </c>
      <c r="H112" s="13">
        <f t="shared" si="10"/>
        <v>40</v>
      </c>
      <c r="I112" s="13">
        <f t="shared" si="11"/>
        <v>68.88</v>
      </c>
      <c r="J112" s="22">
        <v>62</v>
      </c>
      <c r="K112" s="21"/>
    </row>
    <row r="113" s="2" customFormat="1" customHeight="1" spans="1:11">
      <c r="A113" s="11">
        <v>111</v>
      </c>
      <c r="B113" s="15" t="s">
        <v>84</v>
      </c>
      <c r="C113" s="11" t="str">
        <f>"460033200106064782"</f>
        <v>460033200106064782</v>
      </c>
      <c r="D113" s="15" t="s">
        <v>147</v>
      </c>
      <c r="E113" s="12">
        <v>69.36</v>
      </c>
      <c r="F113" s="13">
        <f t="shared" si="9"/>
        <v>27.74</v>
      </c>
      <c r="G113" s="14">
        <v>68.33</v>
      </c>
      <c r="H113" s="13">
        <f t="shared" si="10"/>
        <v>41</v>
      </c>
      <c r="I113" s="13">
        <f t="shared" si="11"/>
        <v>68.74</v>
      </c>
      <c r="J113" s="22">
        <v>63</v>
      </c>
      <c r="K113" s="21"/>
    </row>
    <row r="114" s="2" customFormat="1" customHeight="1" spans="1:11">
      <c r="A114" s="11">
        <v>112</v>
      </c>
      <c r="B114" s="15" t="s">
        <v>84</v>
      </c>
      <c r="C114" s="11" t="str">
        <f>"460007199903044364"</f>
        <v>460007199903044364</v>
      </c>
      <c r="D114" s="15" t="s">
        <v>148</v>
      </c>
      <c r="E114" s="12">
        <v>66.36</v>
      </c>
      <c r="F114" s="13">
        <f t="shared" si="9"/>
        <v>26.54</v>
      </c>
      <c r="G114" s="14">
        <v>70.34</v>
      </c>
      <c r="H114" s="13">
        <f t="shared" si="10"/>
        <v>42.2</v>
      </c>
      <c r="I114" s="13">
        <f t="shared" si="11"/>
        <v>68.74</v>
      </c>
      <c r="J114" s="22">
        <v>63</v>
      </c>
      <c r="K114" s="21"/>
    </row>
    <row r="115" s="2" customFormat="1" customHeight="1" spans="1:11">
      <c r="A115" s="11">
        <v>113</v>
      </c>
      <c r="B115" s="15" t="s">
        <v>84</v>
      </c>
      <c r="C115" s="11" t="str">
        <f>"46902320021015592X"</f>
        <v>46902320021015592X</v>
      </c>
      <c r="D115" s="15" t="s">
        <v>149</v>
      </c>
      <c r="E115" s="12">
        <v>73.04</v>
      </c>
      <c r="F115" s="13">
        <f t="shared" si="9"/>
        <v>29.22</v>
      </c>
      <c r="G115" s="14">
        <v>65.83</v>
      </c>
      <c r="H115" s="13">
        <f t="shared" si="10"/>
        <v>39.5</v>
      </c>
      <c r="I115" s="13">
        <f t="shared" si="11"/>
        <v>68.72</v>
      </c>
      <c r="J115" s="22">
        <v>65</v>
      </c>
      <c r="K115" s="21"/>
    </row>
    <row r="116" s="2" customFormat="1" customHeight="1" spans="1:11">
      <c r="A116" s="11">
        <v>114</v>
      </c>
      <c r="B116" s="15" t="s">
        <v>84</v>
      </c>
      <c r="C116" s="11" t="str">
        <f>"500234200106139588"</f>
        <v>500234200106139588</v>
      </c>
      <c r="D116" s="15" t="s">
        <v>150</v>
      </c>
      <c r="E116" s="12">
        <v>65.64</v>
      </c>
      <c r="F116" s="13">
        <f t="shared" si="9"/>
        <v>26.26</v>
      </c>
      <c r="G116" s="14">
        <v>70.5</v>
      </c>
      <c r="H116" s="13">
        <f t="shared" si="10"/>
        <v>42.3</v>
      </c>
      <c r="I116" s="13">
        <f t="shared" si="11"/>
        <v>68.56</v>
      </c>
      <c r="J116" s="22">
        <v>66</v>
      </c>
      <c r="K116" s="21"/>
    </row>
    <row r="117" s="2" customFormat="1" customHeight="1" spans="1:11">
      <c r="A117" s="11">
        <v>115</v>
      </c>
      <c r="B117" s="11" t="s">
        <v>84</v>
      </c>
      <c r="C117" s="11" t="s">
        <v>151</v>
      </c>
      <c r="D117" s="11" t="str">
        <f>"陈奎燕"</f>
        <v>陈奎燕</v>
      </c>
      <c r="E117" s="12">
        <v>67.24</v>
      </c>
      <c r="F117" s="13">
        <f t="shared" si="9"/>
        <v>26.9</v>
      </c>
      <c r="G117" s="14">
        <v>69.43</v>
      </c>
      <c r="H117" s="13">
        <f t="shared" si="10"/>
        <v>41.66</v>
      </c>
      <c r="I117" s="13">
        <f t="shared" si="11"/>
        <v>68.56</v>
      </c>
      <c r="J117" s="22">
        <v>66</v>
      </c>
      <c r="K117" s="21"/>
    </row>
    <row r="118" s="2" customFormat="1" customHeight="1" spans="1:11">
      <c r="A118" s="11">
        <v>116</v>
      </c>
      <c r="B118" s="11" t="s">
        <v>84</v>
      </c>
      <c r="C118" s="11" t="s">
        <v>152</v>
      </c>
      <c r="D118" s="11" t="str">
        <f>"罗茜茜"</f>
        <v>罗茜茜</v>
      </c>
      <c r="E118" s="12">
        <v>70.84</v>
      </c>
      <c r="F118" s="13">
        <f t="shared" si="9"/>
        <v>28.34</v>
      </c>
      <c r="G118" s="14">
        <v>67.01</v>
      </c>
      <c r="H118" s="13">
        <f t="shared" si="10"/>
        <v>40.21</v>
      </c>
      <c r="I118" s="13">
        <f t="shared" si="11"/>
        <v>68.55</v>
      </c>
      <c r="J118" s="22">
        <v>68</v>
      </c>
      <c r="K118" s="21"/>
    </row>
    <row r="119" s="2" customFormat="1" customHeight="1" spans="1:11">
      <c r="A119" s="11">
        <v>117</v>
      </c>
      <c r="B119" s="15" t="s">
        <v>84</v>
      </c>
      <c r="C119" s="11" t="str">
        <f>"46000220020913382X"</f>
        <v>46000220020913382X</v>
      </c>
      <c r="D119" s="15" t="s">
        <v>153</v>
      </c>
      <c r="E119" s="12">
        <v>66.32</v>
      </c>
      <c r="F119" s="13">
        <f t="shared" si="9"/>
        <v>26.53</v>
      </c>
      <c r="G119" s="14">
        <v>69.84</v>
      </c>
      <c r="H119" s="13">
        <f t="shared" si="10"/>
        <v>41.9</v>
      </c>
      <c r="I119" s="13">
        <f t="shared" si="11"/>
        <v>68.43</v>
      </c>
      <c r="J119" s="22">
        <v>69</v>
      </c>
      <c r="K119" s="21"/>
    </row>
    <row r="120" s="2" customFormat="1" customHeight="1" spans="1:11">
      <c r="A120" s="11">
        <v>118</v>
      </c>
      <c r="B120" s="15" t="s">
        <v>84</v>
      </c>
      <c r="C120" s="11" t="str">
        <f>"469003200309271925"</f>
        <v>469003200309271925</v>
      </c>
      <c r="D120" s="15" t="s">
        <v>154</v>
      </c>
      <c r="E120" s="12">
        <v>69.96</v>
      </c>
      <c r="F120" s="13">
        <f t="shared" si="9"/>
        <v>27.98</v>
      </c>
      <c r="G120" s="14">
        <v>67.17</v>
      </c>
      <c r="H120" s="13">
        <f t="shared" si="10"/>
        <v>40.3</v>
      </c>
      <c r="I120" s="13">
        <f t="shared" si="11"/>
        <v>68.28</v>
      </c>
      <c r="J120" s="22">
        <v>70</v>
      </c>
      <c r="K120" s="21"/>
    </row>
    <row r="121" s="2" customFormat="1" customHeight="1" spans="1:11">
      <c r="A121" s="11">
        <v>119</v>
      </c>
      <c r="B121" s="15" t="s">
        <v>84</v>
      </c>
      <c r="C121" s="11" t="str">
        <f>"46000220031226342X"</f>
        <v>46000220031226342X</v>
      </c>
      <c r="D121" s="15" t="s">
        <v>155</v>
      </c>
      <c r="E121" s="12">
        <v>66.16</v>
      </c>
      <c r="F121" s="13">
        <f t="shared" si="9"/>
        <v>26.46</v>
      </c>
      <c r="G121" s="14">
        <v>69.67</v>
      </c>
      <c r="H121" s="13">
        <f t="shared" si="10"/>
        <v>41.8</v>
      </c>
      <c r="I121" s="13">
        <f t="shared" si="11"/>
        <v>68.26</v>
      </c>
      <c r="J121" s="22">
        <v>71</v>
      </c>
      <c r="K121" s="21"/>
    </row>
    <row r="122" s="2" customFormat="1" customHeight="1" spans="1:11">
      <c r="A122" s="11">
        <v>120</v>
      </c>
      <c r="B122" s="15" t="s">
        <v>84</v>
      </c>
      <c r="C122" s="11" t="str">
        <f>"460003200007102626"</f>
        <v>460003200007102626</v>
      </c>
      <c r="D122" s="15" t="s">
        <v>156</v>
      </c>
      <c r="E122" s="12">
        <v>66.88</v>
      </c>
      <c r="F122" s="13">
        <f t="shared" si="9"/>
        <v>26.75</v>
      </c>
      <c r="G122" s="14">
        <v>68.67</v>
      </c>
      <c r="H122" s="13">
        <f t="shared" si="10"/>
        <v>41.2</v>
      </c>
      <c r="I122" s="13">
        <f t="shared" si="11"/>
        <v>67.95</v>
      </c>
      <c r="J122" s="22">
        <v>72</v>
      </c>
      <c r="K122" s="21"/>
    </row>
    <row r="123" s="2" customFormat="1" customHeight="1" spans="1:11">
      <c r="A123" s="11">
        <v>121</v>
      </c>
      <c r="B123" s="15" t="s">
        <v>84</v>
      </c>
      <c r="C123" s="11" t="str">
        <f>"460035200107161149"</f>
        <v>460035200107161149</v>
      </c>
      <c r="D123" s="15" t="s">
        <v>157</v>
      </c>
      <c r="E123" s="12">
        <v>65.88</v>
      </c>
      <c r="F123" s="13">
        <f t="shared" si="9"/>
        <v>26.35</v>
      </c>
      <c r="G123" s="14">
        <v>69.33</v>
      </c>
      <c r="H123" s="13">
        <f t="shared" si="10"/>
        <v>41.6</v>
      </c>
      <c r="I123" s="13">
        <f t="shared" si="11"/>
        <v>67.95</v>
      </c>
      <c r="J123" s="22">
        <v>72</v>
      </c>
      <c r="K123" s="21"/>
    </row>
    <row r="124" s="2" customFormat="1" customHeight="1" spans="1:11">
      <c r="A124" s="11">
        <v>122</v>
      </c>
      <c r="B124" s="15" t="s">
        <v>84</v>
      </c>
      <c r="C124" s="11" t="str">
        <f>"460033200203183222"</f>
        <v>460033200203183222</v>
      </c>
      <c r="D124" s="15" t="s">
        <v>158</v>
      </c>
      <c r="E124" s="12">
        <v>70.28</v>
      </c>
      <c r="F124" s="13">
        <f t="shared" si="9"/>
        <v>28.11</v>
      </c>
      <c r="G124" s="14">
        <v>66.33</v>
      </c>
      <c r="H124" s="13">
        <f t="shared" si="10"/>
        <v>39.8</v>
      </c>
      <c r="I124" s="13">
        <f t="shared" si="11"/>
        <v>67.91</v>
      </c>
      <c r="J124" s="22">
        <v>74</v>
      </c>
      <c r="K124" s="21"/>
    </row>
    <row r="125" s="2" customFormat="1" customHeight="1" spans="1:11">
      <c r="A125" s="11">
        <v>123</v>
      </c>
      <c r="B125" s="15" t="s">
        <v>84</v>
      </c>
      <c r="C125" s="11" t="str">
        <f>"46003119990913562X"</f>
        <v>46003119990913562X</v>
      </c>
      <c r="D125" s="15" t="s">
        <v>159</v>
      </c>
      <c r="E125" s="12">
        <v>71.72</v>
      </c>
      <c r="F125" s="13">
        <f t="shared" si="9"/>
        <v>28.69</v>
      </c>
      <c r="G125" s="14">
        <v>65.33</v>
      </c>
      <c r="H125" s="13">
        <f t="shared" si="10"/>
        <v>39.2</v>
      </c>
      <c r="I125" s="13">
        <f t="shared" si="11"/>
        <v>67.89</v>
      </c>
      <c r="J125" s="22">
        <v>75</v>
      </c>
      <c r="K125" s="21"/>
    </row>
    <row r="126" s="2" customFormat="1" customHeight="1" spans="1:11">
      <c r="A126" s="11">
        <v>124</v>
      </c>
      <c r="B126" s="15" t="s">
        <v>84</v>
      </c>
      <c r="C126" s="11" t="str">
        <f>"469027200009037185"</f>
        <v>469027200009037185</v>
      </c>
      <c r="D126" s="15" t="s">
        <v>160</v>
      </c>
      <c r="E126" s="12">
        <v>76.64</v>
      </c>
      <c r="F126" s="13">
        <f t="shared" si="9"/>
        <v>30.66</v>
      </c>
      <c r="G126" s="14">
        <v>62</v>
      </c>
      <c r="H126" s="13">
        <f t="shared" si="10"/>
        <v>37.2</v>
      </c>
      <c r="I126" s="13">
        <f t="shared" si="11"/>
        <v>67.86</v>
      </c>
      <c r="J126" s="22">
        <v>76</v>
      </c>
      <c r="K126" s="21"/>
    </row>
    <row r="127" s="2" customFormat="1" customHeight="1" spans="1:11">
      <c r="A127" s="11">
        <v>125</v>
      </c>
      <c r="B127" s="15" t="s">
        <v>84</v>
      </c>
      <c r="C127" s="11" t="str">
        <f>"469007199910127625"</f>
        <v>469007199910127625</v>
      </c>
      <c r="D127" s="15" t="s">
        <v>161</v>
      </c>
      <c r="E127" s="12">
        <v>66.64</v>
      </c>
      <c r="F127" s="13">
        <f t="shared" si="9"/>
        <v>26.66</v>
      </c>
      <c r="G127" s="14">
        <v>68.66</v>
      </c>
      <c r="H127" s="13">
        <f t="shared" si="10"/>
        <v>41.2</v>
      </c>
      <c r="I127" s="13">
        <f t="shared" si="11"/>
        <v>67.86</v>
      </c>
      <c r="J127" s="22">
        <v>76</v>
      </c>
      <c r="K127" s="21"/>
    </row>
    <row r="128" s="2" customFormat="1" customHeight="1" spans="1:11">
      <c r="A128" s="11">
        <v>126</v>
      </c>
      <c r="B128" s="15" t="s">
        <v>84</v>
      </c>
      <c r="C128" s="11" t="str">
        <f>"460033200108163303"</f>
        <v>460033200108163303</v>
      </c>
      <c r="D128" s="15" t="s">
        <v>162</v>
      </c>
      <c r="E128" s="12">
        <v>67.92</v>
      </c>
      <c r="F128" s="13">
        <f t="shared" si="9"/>
        <v>27.17</v>
      </c>
      <c r="G128" s="14">
        <v>67.66</v>
      </c>
      <c r="H128" s="13">
        <f t="shared" si="10"/>
        <v>40.6</v>
      </c>
      <c r="I128" s="13">
        <f t="shared" si="11"/>
        <v>67.77</v>
      </c>
      <c r="J128" s="22">
        <v>78</v>
      </c>
      <c r="K128" s="21"/>
    </row>
    <row r="129" s="2" customFormat="1" customHeight="1" spans="1:11">
      <c r="A129" s="11">
        <v>127</v>
      </c>
      <c r="B129" s="15" t="s">
        <v>84</v>
      </c>
      <c r="C129" s="11" t="str">
        <f>"469027200101086887"</f>
        <v>469027200101086887</v>
      </c>
      <c r="D129" s="15" t="s">
        <v>163</v>
      </c>
      <c r="E129" s="12">
        <v>67.6</v>
      </c>
      <c r="F129" s="13">
        <f t="shared" si="9"/>
        <v>27.04</v>
      </c>
      <c r="G129" s="14">
        <v>67.83</v>
      </c>
      <c r="H129" s="13">
        <f t="shared" si="10"/>
        <v>40.7</v>
      </c>
      <c r="I129" s="13">
        <f t="shared" si="11"/>
        <v>67.74</v>
      </c>
      <c r="J129" s="22">
        <v>79</v>
      </c>
      <c r="K129" s="21"/>
    </row>
    <row r="130" s="2" customFormat="1" customHeight="1" spans="1:11">
      <c r="A130" s="11">
        <v>128</v>
      </c>
      <c r="B130" s="15" t="s">
        <v>84</v>
      </c>
      <c r="C130" s="11" t="str">
        <f>"460200200106053825"</f>
        <v>460200200106053825</v>
      </c>
      <c r="D130" s="15" t="s">
        <v>164</v>
      </c>
      <c r="E130" s="12">
        <v>66.8</v>
      </c>
      <c r="F130" s="13">
        <f t="shared" si="9"/>
        <v>26.72</v>
      </c>
      <c r="G130" s="14">
        <v>68.16</v>
      </c>
      <c r="H130" s="13">
        <f t="shared" si="10"/>
        <v>40.9</v>
      </c>
      <c r="I130" s="13">
        <f t="shared" si="11"/>
        <v>67.62</v>
      </c>
      <c r="J130" s="22">
        <v>80</v>
      </c>
      <c r="K130" s="21"/>
    </row>
    <row r="131" s="2" customFormat="1" customHeight="1" spans="1:11">
      <c r="A131" s="11">
        <v>129</v>
      </c>
      <c r="B131" s="15" t="s">
        <v>84</v>
      </c>
      <c r="C131" s="11" t="str">
        <f>"469007200002284962"</f>
        <v>469007200002284962</v>
      </c>
      <c r="D131" s="15" t="s">
        <v>165</v>
      </c>
      <c r="E131" s="12">
        <v>71.36</v>
      </c>
      <c r="F131" s="13">
        <f t="shared" ref="F131:F162" si="12">E131*0.4</f>
        <v>28.54</v>
      </c>
      <c r="G131" s="14">
        <v>65</v>
      </c>
      <c r="H131" s="13">
        <f t="shared" ref="H131:H162" si="13">G131*0.6</f>
        <v>39</v>
      </c>
      <c r="I131" s="13">
        <f t="shared" ref="I131:I162" si="14">H131+F131</f>
        <v>67.54</v>
      </c>
      <c r="J131" s="22">
        <v>81</v>
      </c>
      <c r="K131" s="21"/>
    </row>
    <row r="132" s="2" customFormat="1" customHeight="1" spans="1:11">
      <c r="A132" s="11">
        <v>130</v>
      </c>
      <c r="B132" s="15" t="s">
        <v>84</v>
      </c>
      <c r="C132" s="11" t="str">
        <f>"460033200109244789"</f>
        <v>460033200109244789</v>
      </c>
      <c r="D132" s="15" t="s">
        <v>166</v>
      </c>
      <c r="E132" s="12">
        <v>74.08</v>
      </c>
      <c r="F132" s="13">
        <f t="shared" si="12"/>
        <v>29.63</v>
      </c>
      <c r="G132" s="14">
        <v>62.83</v>
      </c>
      <c r="H132" s="13">
        <f t="shared" si="13"/>
        <v>37.7</v>
      </c>
      <c r="I132" s="13">
        <f t="shared" si="14"/>
        <v>67.33</v>
      </c>
      <c r="J132" s="22">
        <v>82</v>
      </c>
      <c r="K132" s="21"/>
    </row>
    <row r="133" s="2" customFormat="1" customHeight="1" spans="1:11">
      <c r="A133" s="11">
        <v>131</v>
      </c>
      <c r="B133" s="15" t="s">
        <v>84</v>
      </c>
      <c r="C133" s="11" t="str">
        <f>"460035200108052526"</f>
        <v>460035200108052526</v>
      </c>
      <c r="D133" s="15" t="s">
        <v>167</v>
      </c>
      <c r="E133" s="12">
        <v>66.8</v>
      </c>
      <c r="F133" s="13">
        <f t="shared" si="12"/>
        <v>26.72</v>
      </c>
      <c r="G133" s="14">
        <v>67.67</v>
      </c>
      <c r="H133" s="13">
        <f t="shared" si="13"/>
        <v>40.6</v>
      </c>
      <c r="I133" s="13">
        <f t="shared" si="14"/>
        <v>67.32</v>
      </c>
      <c r="J133" s="22">
        <v>83</v>
      </c>
      <c r="K133" s="21"/>
    </row>
    <row r="134" s="2" customFormat="1" customHeight="1" spans="1:11">
      <c r="A134" s="11">
        <v>132</v>
      </c>
      <c r="B134" s="15" t="s">
        <v>84</v>
      </c>
      <c r="C134" s="11" t="str">
        <f>"460026200210080324"</f>
        <v>460026200210080324</v>
      </c>
      <c r="D134" s="15" t="s">
        <v>168</v>
      </c>
      <c r="E134" s="12">
        <v>72.4</v>
      </c>
      <c r="F134" s="13">
        <f t="shared" si="12"/>
        <v>28.96</v>
      </c>
      <c r="G134" s="14">
        <v>63.83</v>
      </c>
      <c r="H134" s="13">
        <f t="shared" si="13"/>
        <v>38.3</v>
      </c>
      <c r="I134" s="13">
        <f t="shared" si="14"/>
        <v>67.26</v>
      </c>
      <c r="J134" s="22">
        <v>84</v>
      </c>
      <c r="K134" s="21"/>
    </row>
    <row r="135" s="2" customFormat="1" customHeight="1" spans="1:11">
      <c r="A135" s="11">
        <v>133</v>
      </c>
      <c r="B135" s="15" t="s">
        <v>84</v>
      </c>
      <c r="C135" s="11" t="str">
        <f>"469023200208162928"</f>
        <v>469023200208162928</v>
      </c>
      <c r="D135" s="15" t="s">
        <v>169</v>
      </c>
      <c r="E135" s="12">
        <v>67.16</v>
      </c>
      <c r="F135" s="13">
        <f t="shared" si="12"/>
        <v>26.86</v>
      </c>
      <c r="G135" s="14">
        <v>67.33</v>
      </c>
      <c r="H135" s="13">
        <f t="shared" si="13"/>
        <v>40.4</v>
      </c>
      <c r="I135" s="13">
        <f t="shared" si="14"/>
        <v>67.26</v>
      </c>
      <c r="J135" s="22">
        <v>84</v>
      </c>
      <c r="K135" s="21"/>
    </row>
    <row r="136" s="2" customFormat="1" customHeight="1" spans="1:11">
      <c r="A136" s="11">
        <v>134</v>
      </c>
      <c r="B136" s="15" t="s">
        <v>84</v>
      </c>
      <c r="C136" s="11" t="str">
        <f>"460033200004023269"</f>
        <v>460033200004023269</v>
      </c>
      <c r="D136" s="15" t="s">
        <v>170</v>
      </c>
      <c r="E136" s="12">
        <v>70.04</v>
      </c>
      <c r="F136" s="13">
        <f t="shared" si="12"/>
        <v>28.02</v>
      </c>
      <c r="G136" s="14">
        <v>65.17</v>
      </c>
      <c r="H136" s="13">
        <f t="shared" si="13"/>
        <v>39.1</v>
      </c>
      <c r="I136" s="13">
        <f t="shared" si="14"/>
        <v>67.12</v>
      </c>
      <c r="J136" s="22">
        <v>86</v>
      </c>
      <c r="K136" s="21"/>
    </row>
    <row r="137" s="2" customFormat="1" customHeight="1" spans="1:11">
      <c r="A137" s="11">
        <v>135</v>
      </c>
      <c r="B137" s="15" t="s">
        <v>84</v>
      </c>
      <c r="C137" s="11" t="str">
        <f>"460006200308103429"</f>
        <v>460006200308103429</v>
      </c>
      <c r="D137" s="15" t="s">
        <v>171</v>
      </c>
      <c r="E137" s="12">
        <v>69.04</v>
      </c>
      <c r="F137" s="13">
        <f t="shared" si="12"/>
        <v>27.62</v>
      </c>
      <c r="G137" s="14">
        <v>65.84</v>
      </c>
      <c r="H137" s="13">
        <f t="shared" si="13"/>
        <v>39.5</v>
      </c>
      <c r="I137" s="13">
        <f t="shared" si="14"/>
        <v>67.12</v>
      </c>
      <c r="J137" s="22">
        <v>86</v>
      </c>
      <c r="K137" s="21"/>
    </row>
    <row r="138" s="2" customFormat="1" customHeight="1" spans="1:11">
      <c r="A138" s="11">
        <v>136</v>
      </c>
      <c r="B138" s="15" t="s">
        <v>84</v>
      </c>
      <c r="C138" s="11" t="str">
        <f>"469005200405070720"</f>
        <v>469005200405070720</v>
      </c>
      <c r="D138" s="15" t="s">
        <v>172</v>
      </c>
      <c r="E138" s="12">
        <v>69.36</v>
      </c>
      <c r="F138" s="13">
        <f t="shared" si="12"/>
        <v>27.74</v>
      </c>
      <c r="G138" s="14">
        <v>65.5</v>
      </c>
      <c r="H138" s="13">
        <f t="shared" si="13"/>
        <v>39.3</v>
      </c>
      <c r="I138" s="13">
        <f t="shared" si="14"/>
        <v>67.04</v>
      </c>
      <c r="J138" s="22">
        <v>88</v>
      </c>
      <c r="K138" s="21"/>
    </row>
    <row r="139" s="2" customFormat="1" customHeight="1" spans="1:11">
      <c r="A139" s="11">
        <v>137</v>
      </c>
      <c r="B139" s="15" t="s">
        <v>84</v>
      </c>
      <c r="C139" s="11" t="str">
        <f>"460033200108104784"</f>
        <v>460033200108104784</v>
      </c>
      <c r="D139" s="15" t="s">
        <v>173</v>
      </c>
      <c r="E139" s="12">
        <v>71.52</v>
      </c>
      <c r="F139" s="13">
        <f t="shared" si="12"/>
        <v>28.61</v>
      </c>
      <c r="G139" s="14">
        <v>64</v>
      </c>
      <c r="H139" s="13">
        <f t="shared" si="13"/>
        <v>38.4</v>
      </c>
      <c r="I139" s="13">
        <f t="shared" si="14"/>
        <v>67.01</v>
      </c>
      <c r="J139" s="22">
        <v>89</v>
      </c>
      <c r="K139" s="21"/>
    </row>
    <row r="140" s="2" customFormat="1" customHeight="1" spans="1:11">
      <c r="A140" s="11">
        <v>138</v>
      </c>
      <c r="B140" s="15" t="s">
        <v>84</v>
      </c>
      <c r="C140" s="11" t="str">
        <f>"460003200308254228"</f>
        <v>460003200308254228</v>
      </c>
      <c r="D140" s="15" t="s">
        <v>174</v>
      </c>
      <c r="E140" s="12">
        <v>68.36</v>
      </c>
      <c r="F140" s="13">
        <f t="shared" si="12"/>
        <v>27.34</v>
      </c>
      <c r="G140" s="14">
        <v>66</v>
      </c>
      <c r="H140" s="13">
        <f t="shared" si="13"/>
        <v>39.6</v>
      </c>
      <c r="I140" s="13">
        <f t="shared" si="14"/>
        <v>66.94</v>
      </c>
      <c r="J140" s="22">
        <v>90</v>
      </c>
      <c r="K140" s="21"/>
    </row>
    <row r="141" s="2" customFormat="1" customHeight="1" spans="1:11">
      <c r="A141" s="11">
        <v>139</v>
      </c>
      <c r="B141" s="15" t="s">
        <v>84</v>
      </c>
      <c r="C141" s="11" t="str">
        <f>"460006200107192023"</f>
        <v>460006200107192023</v>
      </c>
      <c r="D141" s="15" t="s">
        <v>175</v>
      </c>
      <c r="E141" s="12">
        <v>69.04</v>
      </c>
      <c r="F141" s="13">
        <f t="shared" si="12"/>
        <v>27.62</v>
      </c>
      <c r="G141" s="14">
        <v>65</v>
      </c>
      <c r="H141" s="13">
        <f t="shared" si="13"/>
        <v>39</v>
      </c>
      <c r="I141" s="13">
        <f t="shared" si="14"/>
        <v>66.62</v>
      </c>
      <c r="J141" s="22">
        <v>91</v>
      </c>
      <c r="K141" s="21"/>
    </row>
    <row r="142" s="2" customFormat="1" customHeight="1" spans="1:11">
      <c r="A142" s="11">
        <v>140</v>
      </c>
      <c r="B142" s="15" t="s">
        <v>84</v>
      </c>
      <c r="C142" s="11" t="str">
        <f>"460003200402025421"</f>
        <v>460003200402025421</v>
      </c>
      <c r="D142" s="15" t="s">
        <v>176</v>
      </c>
      <c r="E142" s="12">
        <v>66.48</v>
      </c>
      <c r="F142" s="13">
        <f t="shared" si="12"/>
        <v>26.59</v>
      </c>
      <c r="G142" s="14">
        <v>66.67</v>
      </c>
      <c r="H142" s="13">
        <f t="shared" si="13"/>
        <v>40</v>
      </c>
      <c r="I142" s="13">
        <f t="shared" si="14"/>
        <v>66.59</v>
      </c>
      <c r="J142" s="22">
        <v>92</v>
      </c>
      <c r="K142" s="21"/>
    </row>
    <row r="143" s="2" customFormat="1" customHeight="1" spans="1:11">
      <c r="A143" s="11">
        <v>141</v>
      </c>
      <c r="B143" s="15" t="s">
        <v>84</v>
      </c>
      <c r="C143" s="11" t="str">
        <f>"469007200103162024"</f>
        <v>469007200103162024</v>
      </c>
      <c r="D143" s="15" t="s">
        <v>177</v>
      </c>
      <c r="E143" s="12">
        <v>66.88</v>
      </c>
      <c r="F143" s="13">
        <f t="shared" si="12"/>
        <v>26.75</v>
      </c>
      <c r="G143" s="14">
        <v>65.17</v>
      </c>
      <c r="H143" s="13">
        <f t="shared" si="13"/>
        <v>39.1</v>
      </c>
      <c r="I143" s="13">
        <f t="shared" si="14"/>
        <v>65.85</v>
      </c>
      <c r="J143" s="22">
        <v>93</v>
      </c>
      <c r="K143" s="21"/>
    </row>
    <row r="144" s="2" customFormat="1" customHeight="1" spans="1:11">
      <c r="A144" s="11">
        <v>142</v>
      </c>
      <c r="B144" s="15" t="s">
        <v>84</v>
      </c>
      <c r="C144" s="11" t="str">
        <f>"460033200204213884"</f>
        <v>460033200204213884</v>
      </c>
      <c r="D144" s="15" t="s">
        <v>178</v>
      </c>
      <c r="E144" s="12">
        <v>71.56</v>
      </c>
      <c r="F144" s="13">
        <f t="shared" si="12"/>
        <v>28.62</v>
      </c>
      <c r="G144" s="14">
        <v>62</v>
      </c>
      <c r="H144" s="13">
        <f t="shared" si="13"/>
        <v>37.2</v>
      </c>
      <c r="I144" s="13">
        <f t="shared" si="14"/>
        <v>65.82</v>
      </c>
      <c r="J144" s="22">
        <v>94</v>
      </c>
      <c r="K144" s="21"/>
    </row>
    <row r="145" s="2" customFormat="1" customHeight="1" spans="1:11">
      <c r="A145" s="11">
        <v>143</v>
      </c>
      <c r="B145" s="15" t="s">
        <v>84</v>
      </c>
      <c r="C145" s="11" t="str">
        <f>"46010520040516752X"</f>
        <v>46010520040516752X</v>
      </c>
      <c r="D145" s="15" t="s">
        <v>179</v>
      </c>
      <c r="E145" s="12">
        <v>67.12</v>
      </c>
      <c r="F145" s="13">
        <f t="shared" si="12"/>
        <v>26.85</v>
      </c>
      <c r="G145" s="14">
        <v>64.66</v>
      </c>
      <c r="H145" s="13">
        <f t="shared" si="13"/>
        <v>38.8</v>
      </c>
      <c r="I145" s="13">
        <f t="shared" si="14"/>
        <v>65.65</v>
      </c>
      <c r="J145" s="22">
        <v>95</v>
      </c>
      <c r="K145" s="21"/>
    </row>
    <row r="146" s="2" customFormat="1" customHeight="1" spans="1:11">
      <c r="A146" s="11">
        <v>144</v>
      </c>
      <c r="B146" s="15" t="s">
        <v>84</v>
      </c>
      <c r="C146" s="11" t="str">
        <f>"469007199812124965"</f>
        <v>469007199812124965</v>
      </c>
      <c r="D146" s="15" t="s">
        <v>180</v>
      </c>
      <c r="E146" s="12">
        <v>66.44</v>
      </c>
      <c r="F146" s="13">
        <f t="shared" si="12"/>
        <v>26.58</v>
      </c>
      <c r="G146" s="14">
        <v>64.5</v>
      </c>
      <c r="H146" s="13">
        <f t="shared" si="13"/>
        <v>38.7</v>
      </c>
      <c r="I146" s="13">
        <f t="shared" si="14"/>
        <v>65.28</v>
      </c>
      <c r="J146" s="22">
        <v>96</v>
      </c>
      <c r="K146" s="21"/>
    </row>
    <row r="147" s="2" customFormat="1" customHeight="1" spans="1:11">
      <c r="A147" s="11">
        <v>145</v>
      </c>
      <c r="B147" s="15" t="s">
        <v>84</v>
      </c>
      <c r="C147" s="11" t="str">
        <f>"460003200301161424"</f>
        <v>460003200301161424</v>
      </c>
      <c r="D147" s="15" t="s">
        <v>181</v>
      </c>
      <c r="E147" s="12">
        <v>68.12</v>
      </c>
      <c r="F147" s="13">
        <f t="shared" si="12"/>
        <v>27.25</v>
      </c>
      <c r="G147" s="14">
        <v>63.33</v>
      </c>
      <c r="H147" s="13">
        <f t="shared" si="13"/>
        <v>38</v>
      </c>
      <c r="I147" s="13">
        <f t="shared" si="14"/>
        <v>65.25</v>
      </c>
      <c r="J147" s="22">
        <v>97</v>
      </c>
      <c r="K147" s="21"/>
    </row>
    <row r="148" s="2" customFormat="1" customHeight="1" spans="1:11">
      <c r="A148" s="11">
        <v>146</v>
      </c>
      <c r="B148" s="15" t="s">
        <v>84</v>
      </c>
      <c r="C148" s="11" t="str">
        <f>"469003200212133024"</f>
        <v>469003200212133024</v>
      </c>
      <c r="D148" s="15" t="s">
        <v>182</v>
      </c>
      <c r="E148" s="12">
        <v>65.68</v>
      </c>
      <c r="F148" s="13">
        <f t="shared" si="12"/>
        <v>26.27</v>
      </c>
      <c r="G148" s="14">
        <v>63.83</v>
      </c>
      <c r="H148" s="13">
        <f t="shared" si="13"/>
        <v>38.3</v>
      </c>
      <c r="I148" s="13">
        <f t="shared" si="14"/>
        <v>64.57</v>
      </c>
      <c r="J148" s="22">
        <v>98</v>
      </c>
      <c r="K148" s="21"/>
    </row>
    <row r="149" s="2" customFormat="1" customHeight="1" spans="1:11">
      <c r="A149" s="11">
        <v>147</v>
      </c>
      <c r="B149" s="15" t="s">
        <v>84</v>
      </c>
      <c r="C149" s="11" t="str">
        <f>"460031200306095628"</f>
        <v>460031200306095628</v>
      </c>
      <c r="D149" s="15" t="s">
        <v>183</v>
      </c>
      <c r="E149" s="12">
        <v>66.4</v>
      </c>
      <c r="F149" s="13">
        <f t="shared" si="12"/>
        <v>26.56</v>
      </c>
      <c r="G149" s="14">
        <v>62.5</v>
      </c>
      <c r="H149" s="13">
        <f t="shared" si="13"/>
        <v>37.5</v>
      </c>
      <c r="I149" s="13">
        <f t="shared" si="14"/>
        <v>64.06</v>
      </c>
      <c r="J149" s="22">
        <v>99</v>
      </c>
      <c r="K149" s="21"/>
    </row>
    <row r="150" s="2" customFormat="1" customHeight="1" spans="1:11">
      <c r="A150" s="11">
        <v>148</v>
      </c>
      <c r="B150" s="15" t="s">
        <v>84</v>
      </c>
      <c r="C150" s="11" t="str">
        <f>"460031200310163662"</f>
        <v>460031200310163662</v>
      </c>
      <c r="D150" s="15" t="s">
        <v>184</v>
      </c>
      <c r="E150" s="12">
        <v>65.68</v>
      </c>
      <c r="F150" s="13">
        <f t="shared" si="12"/>
        <v>26.27</v>
      </c>
      <c r="G150" s="14">
        <v>62.67</v>
      </c>
      <c r="H150" s="13">
        <f t="shared" si="13"/>
        <v>37.6</v>
      </c>
      <c r="I150" s="13">
        <f t="shared" si="14"/>
        <v>63.87</v>
      </c>
      <c r="J150" s="22">
        <v>100</v>
      </c>
      <c r="K150" s="21"/>
    </row>
    <row r="151" s="2" customFormat="1" customHeight="1" spans="1:11">
      <c r="A151" s="11">
        <v>149</v>
      </c>
      <c r="B151" s="15" t="s">
        <v>84</v>
      </c>
      <c r="C151" s="11" t="str">
        <f>"460033200107065082"</f>
        <v>460033200107065082</v>
      </c>
      <c r="D151" s="15" t="s">
        <v>185</v>
      </c>
      <c r="E151" s="12">
        <v>67.12</v>
      </c>
      <c r="F151" s="13">
        <f t="shared" si="12"/>
        <v>26.85</v>
      </c>
      <c r="G151" s="14">
        <v>56.67</v>
      </c>
      <c r="H151" s="13">
        <f t="shared" si="13"/>
        <v>34</v>
      </c>
      <c r="I151" s="13">
        <f t="shared" si="14"/>
        <v>60.85</v>
      </c>
      <c r="J151" s="22">
        <v>101</v>
      </c>
      <c r="K151" s="24" t="s">
        <v>186</v>
      </c>
    </row>
    <row r="152" s="2" customFormat="1" customHeight="1" spans="1:11">
      <c r="A152" s="11">
        <v>150</v>
      </c>
      <c r="B152" s="15" t="s">
        <v>84</v>
      </c>
      <c r="C152" s="11" t="str">
        <f>"460200200504222727"</f>
        <v>460200200504222727</v>
      </c>
      <c r="D152" s="15" t="s">
        <v>187</v>
      </c>
      <c r="E152" s="12">
        <v>79.92</v>
      </c>
      <c r="F152" s="13">
        <f t="shared" si="12"/>
        <v>31.97</v>
      </c>
      <c r="G152" s="23">
        <v>0</v>
      </c>
      <c r="H152" s="13">
        <f t="shared" si="13"/>
        <v>0</v>
      </c>
      <c r="I152" s="13">
        <f t="shared" si="14"/>
        <v>31.97</v>
      </c>
      <c r="J152" s="22"/>
      <c r="K152" s="21" t="s">
        <v>33</v>
      </c>
    </row>
    <row r="153" s="2" customFormat="1" customHeight="1" spans="1:11">
      <c r="A153" s="11">
        <v>151</v>
      </c>
      <c r="B153" s="15" t="s">
        <v>84</v>
      </c>
      <c r="C153" s="11" t="str">
        <f>"460033200107185084"</f>
        <v>460033200107185084</v>
      </c>
      <c r="D153" s="15" t="s">
        <v>188</v>
      </c>
      <c r="E153" s="12">
        <v>78.24</v>
      </c>
      <c r="F153" s="13">
        <f t="shared" si="12"/>
        <v>31.3</v>
      </c>
      <c r="G153" s="23">
        <v>0</v>
      </c>
      <c r="H153" s="13">
        <f t="shared" si="13"/>
        <v>0</v>
      </c>
      <c r="I153" s="13">
        <f t="shared" si="14"/>
        <v>31.3</v>
      </c>
      <c r="J153" s="22"/>
      <c r="K153" s="21" t="s">
        <v>33</v>
      </c>
    </row>
    <row r="154" s="2" customFormat="1" customHeight="1" spans="1:11">
      <c r="A154" s="11">
        <v>152</v>
      </c>
      <c r="B154" s="15" t="s">
        <v>84</v>
      </c>
      <c r="C154" s="11" t="str">
        <f>"460033200305084823"</f>
        <v>460033200305084823</v>
      </c>
      <c r="D154" s="15" t="s">
        <v>189</v>
      </c>
      <c r="E154" s="12">
        <v>75</v>
      </c>
      <c r="F154" s="13">
        <f t="shared" si="12"/>
        <v>30</v>
      </c>
      <c r="G154" s="23">
        <v>0</v>
      </c>
      <c r="H154" s="13">
        <f t="shared" si="13"/>
        <v>0</v>
      </c>
      <c r="I154" s="13">
        <f t="shared" si="14"/>
        <v>30</v>
      </c>
      <c r="J154" s="22"/>
      <c r="K154" s="21" t="s">
        <v>33</v>
      </c>
    </row>
    <row r="155" s="2" customFormat="1" customHeight="1" spans="1:11">
      <c r="A155" s="11">
        <v>153</v>
      </c>
      <c r="B155" s="15" t="s">
        <v>84</v>
      </c>
      <c r="C155" s="11" t="str">
        <f>"450326200012241240"</f>
        <v>450326200012241240</v>
      </c>
      <c r="D155" s="15" t="s">
        <v>190</v>
      </c>
      <c r="E155" s="12">
        <v>74.04</v>
      </c>
      <c r="F155" s="13">
        <f t="shared" si="12"/>
        <v>29.62</v>
      </c>
      <c r="G155" s="23">
        <v>0</v>
      </c>
      <c r="H155" s="13">
        <f t="shared" si="13"/>
        <v>0</v>
      </c>
      <c r="I155" s="13">
        <f t="shared" si="14"/>
        <v>29.62</v>
      </c>
      <c r="J155" s="22"/>
      <c r="K155" s="21" t="s">
        <v>33</v>
      </c>
    </row>
    <row r="156" s="2" customFormat="1" customHeight="1" spans="1:11">
      <c r="A156" s="11">
        <v>154</v>
      </c>
      <c r="B156" s="15" t="s">
        <v>84</v>
      </c>
      <c r="C156" s="11" t="str">
        <f>"460007200201015361"</f>
        <v>460007200201015361</v>
      </c>
      <c r="D156" s="15" t="s">
        <v>191</v>
      </c>
      <c r="E156" s="12">
        <v>73.8</v>
      </c>
      <c r="F156" s="13">
        <f t="shared" si="12"/>
        <v>29.52</v>
      </c>
      <c r="G156" s="23">
        <v>0</v>
      </c>
      <c r="H156" s="13">
        <f t="shared" si="13"/>
        <v>0</v>
      </c>
      <c r="I156" s="13">
        <f t="shared" si="14"/>
        <v>29.52</v>
      </c>
      <c r="J156" s="22"/>
      <c r="K156" s="21" t="s">
        <v>33</v>
      </c>
    </row>
    <row r="157" s="2" customFormat="1" customHeight="1" spans="1:11">
      <c r="A157" s="11">
        <v>155</v>
      </c>
      <c r="B157" s="11" t="s">
        <v>84</v>
      </c>
      <c r="C157" s="11" t="s">
        <v>192</v>
      </c>
      <c r="D157" s="11" t="str">
        <f>"张文博"</f>
        <v>张文博</v>
      </c>
      <c r="E157" s="12">
        <v>73.72</v>
      </c>
      <c r="F157" s="13">
        <f t="shared" si="12"/>
        <v>29.49</v>
      </c>
      <c r="G157" s="23">
        <v>0</v>
      </c>
      <c r="H157" s="13">
        <f t="shared" si="13"/>
        <v>0</v>
      </c>
      <c r="I157" s="13">
        <f t="shared" si="14"/>
        <v>29.49</v>
      </c>
      <c r="J157" s="22"/>
      <c r="K157" s="21" t="s">
        <v>33</v>
      </c>
    </row>
    <row r="158" s="2" customFormat="1" customHeight="1" spans="1:11">
      <c r="A158" s="11">
        <v>156</v>
      </c>
      <c r="B158" s="15" t="s">
        <v>84</v>
      </c>
      <c r="C158" s="11" t="str">
        <f>"460003200105183212"</f>
        <v>460003200105183212</v>
      </c>
      <c r="D158" s="15" t="s">
        <v>193</v>
      </c>
      <c r="E158" s="12">
        <v>72.96</v>
      </c>
      <c r="F158" s="13">
        <f t="shared" si="12"/>
        <v>29.18</v>
      </c>
      <c r="G158" s="23">
        <v>0</v>
      </c>
      <c r="H158" s="13">
        <f t="shared" si="13"/>
        <v>0</v>
      </c>
      <c r="I158" s="13">
        <f t="shared" si="14"/>
        <v>29.18</v>
      </c>
      <c r="J158" s="22"/>
      <c r="K158" s="21" t="s">
        <v>33</v>
      </c>
    </row>
    <row r="159" s="2" customFormat="1" customHeight="1" spans="1:11">
      <c r="A159" s="11">
        <v>157</v>
      </c>
      <c r="B159" s="11" t="s">
        <v>84</v>
      </c>
      <c r="C159" s="11" t="s">
        <v>194</v>
      </c>
      <c r="D159" s="11" t="str">
        <f>"高玉涵"</f>
        <v>高玉涵</v>
      </c>
      <c r="E159" s="12">
        <v>72.76</v>
      </c>
      <c r="F159" s="13">
        <f t="shared" si="12"/>
        <v>29.1</v>
      </c>
      <c r="G159" s="23">
        <v>0</v>
      </c>
      <c r="H159" s="13">
        <f t="shared" si="13"/>
        <v>0</v>
      </c>
      <c r="I159" s="13">
        <f t="shared" si="14"/>
        <v>29.1</v>
      </c>
      <c r="J159" s="22"/>
      <c r="K159" s="21" t="s">
        <v>33</v>
      </c>
    </row>
    <row r="160" s="2" customFormat="1" customHeight="1" spans="1:11">
      <c r="A160" s="11">
        <v>158</v>
      </c>
      <c r="B160" s="15" t="s">
        <v>84</v>
      </c>
      <c r="C160" s="11" t="str">
        <f>"522229199908301427"</f>
        <v>522229199908301427</v>
      </c>
      <c r="D160" s="15" t="s">
        <v>195</v>
      </c>
      <c r="E160" s="12">
        <v>71.48</v>
      </c>
      <c r="F160" s="13">
        <f t="shared" si="12"/>
        <v>28.59</v>
      </c>
      <c r="G160" s="23">
        <v>0</v>
      </c>
      <c r="H160" s="13">
        <f t="shared" si="13"/>
        <v>0</v>
      </c>
      <c r="I160" s="13">
        <f t="shared" si="14"/>
        <v>28.59</v>
      </c>
      <c r="J160" s="22"/>
      <c r="K160" s="21" t="s">
        <v>33</v>
      </c>
    </row>
    <row r="161" s="2" customFormat="1" customHeight="1" spans="1:11">
      <c r="A161" s="11">
        <v>159</v>
      </c>
      <c r="B161" s="11" t="s">
        <v>84</v>
      </c>
      <c r="C161" s="11" t="s">
        <v>196</v>
      </c>
      <c r="D161" s="11" t="str">
        <f>"王鹏"</f>
        <v>王鹏</v>
      </c>
      <c r="E161" s="12">
        <v>71.36</v>
      </c>
      <c r="F161" s="13">
        <f t="shared" si="12"/>
        <v>28.54</v>
      </c>
      <c r="G161" s="23">
        <v>0</v>
      </c>
      <c r="H161" s="13">
        <f t="shared" si="13"/>
        <v>0</v>
      </c>
      <c r="I161" s="13">
        <f t="shared" si="14"/>
        <v>28.54</v>
      </c>
      <c r="J161" s="22"/>
      <c r="K161" s="21" t="s">
        <v>33</v>
      </c>
    </row>
    <row r="162" s="2" customFormat="1" customHeight="1" spans="1:11">
      <c r="A162" s="11">
        <v>160</v>
      </c>
      <c r="B162" s="15" t="s">
        <v>84</v>
      </c>
      <c r="C162" s="11" t="str">
        <f>"460005200205312125"</f>
        <v>460005200205312125</v>
      </c>
      <c r="D162" s="15" t="s">
        <v>197</v>
      </c>
      <c r="E162" s="12">
        <v>71.24</v>
      </c>
      <c r="F162" s="13">
        <f t="shared" si="12"/>
        <v>28.5</v>
      </c>
      <c r="G162" s="23">
        <v>0</v>
      </c>
      <c r="H162" s="13">
        <f t="shared" si="13"/>
        <v>0</v>
      </c>
      <c r="I162" s="13">
        <f t="shared" si="14"/>
        <v>28.5</v>
      </c>
      <c r="J162" s="22"/>
      <c r="K162" s="21" t="s">
        <v>33</v>
      </c>
    </row>
    <row r="163" s="2" customFormat="1" customHeight="1" spans="1:11">
      <c r="A163" s="11">
        <v>161</v>
      </c>
      <c r="B163" s="15" t="s">
        <v>84</v>
      </c>
      <c r="C163" s="11" t="str">
        <f>"460033199905213224"</f>
        <v>460033199905213224</v>
      </c>
      <c r="D163" s="15" t="s">
        <v>198</v>
      </c>
      <c r="E163" s="12">
        <v>70.92</v>
      </c>
      <c r="F163" s="13">
        <f t="shared" ref="F163:F173" si="15">E163*0.4</f>
        <v>28.37</v>
      </c>
      <c r="G163" s="23">
        <v>0</v>
      </c>
      <c r="H163" s="13">
        <f t="shared" ref="H163:H173" si="16">G163*0.6</f>
        <v>0</v>
      </c>
      <c r="I163" s="13">
        <f t="shared" ref="I163:I173" si="17">H163+F163</f>
        <v>28.37</v>
      </c>
      <c r="J163" s="22"/>
      <c r="K163" s="21" t="s">
        <v>33</v>
      </c>
    </row>
    <row r="164" s="2" customFormat="1" customHeight="1" spans="1:11">
      <c r="A164" s="11">
        <v>162</v>
      </c>
      <c r="B164" s="15" t="s">
        <v>84</v>
      </c>
      <c r="C164" s="11" t="str">
        <f>"421002200210011428"</f>
        <v>421002200210011428</v>
      </c>
      <c r="D164" s="15" t="s">
        <v>199</v>
      </c>
      <c r="E164" s="12">
        <v>70.4</v>
      </c>
      <c r="F164" s="13">
        <f t="shared" si="15"/>
        <v>28.16</v>
      </c>
      <c r="G164" s="23">
        <v>0</v>
      </c>
      <c r="H164" s="13">
        <f t="shared" si="16"/>
        <v>0</v>
      </c>
      <c r="I164" s="13">
        <f t="shared" si="17"/>
        <v>28.16</v>
      </c>
      <c r="J164" s="22"/>
      <c r="K164" s="21" t="s">
        <v>33</v>
      </c>
    </row>
    <row r="165" s="2" customFormat="1" customHeight="1" spans="1:11">
      <c r="A165" s="11">
        <v>163</v>
      </c>
      <c r="B165" s="11" t="s">
        <v>84</v>
      </c>
      <c r="C165" s="11" t="s">
        <v>200</v>
      </c>
      <c r="D165" s="11" t="str">
        <f>"姜传宇"</f>
        <v>姜传宇</v>
      </c>
      <c r="E165" s="12">
        <v>70.36</v>
      </c>
      <c r="F165" s="13">
        <f t="shared" si="15"/>
        <v>28.14</v>
      </c>
      <c r="G165" s="23">
        <v>0</v>
      </c>
      <c r="H165" s="13">
        <f t="shared" si="16"/>
        <v>0</v>
      </c>
      <c r="I165" s="13">
        <f t="shared" si="17"/>
        <v>28.14</v>
      </c>
      <c r="J165" s="22"/>
      <c r="K165" s="21" t="s">
        <v>33</v>
      </c>
    </row>
    <row r="166" s="2" customFormat="1" customHeight="1" spans="1:11">
      <c r="A166" s="11">
        <v>164</v>
      </c>
      <c r="B166" s="15" t="s">
        <v>84</v>
      </c>
      <c r="C166" s="11" t="str">
        <f>"469027200012104481"</f>
        <v>469027200012104481</v>
      </c>
      <c r="D166" s="15" t="s">
        <v>201</v>
      </c>
      <c r="E166" s="12">
        <v>69.28</v>
      </c>
      <c r="F166" s="13">
        <f t="shared" si="15"/>
        <v>27.71</v>
      </c>
      <c r="G166" s="23">
        <v>0</v>
      </c>
      <c r="H166" s="13">
        <f t="shared" si="16"/>
        <v>0</v>
      </c>
      <c r="I166" s="13">
        <f t="shared" si="17"/>
        <v>27.71</v>
      </c>
      <c r="J166" s="22"/>
      <c r="K166" s="21" t="s">
        <v>33</v>
      </c>
    </row>
    <row r="167" s="2" customFormat="1" customHeight="1" spans="1:11">
      <c r="A167" s="11">
        <v>165</v>
      </c>
      <c r="B167" s="15" t="s">
        <v>84</v>
      </c>
      <c r="C167" s="11" t="str">
        <f>"460033200103263882"</f>
        <v>460033200103263882</v>
      </c>
      <c r="D167" s="15" t="s">
        <v>202</v>
      </c>
      <c r="E167" s="12">
        <v>68.64</v>
      </c>
      <c r="F167" s="13">
        <f t="shared" si="15"/>
        <v>27.46</v>
      </c>
      <c r="G167" s="23">
        <v>0</v>
      </c>
      <c r="H167" s="13">
        <f t="shared" si="16"/>
        <v>0</v>
      </c>
      <c r="I167" s="13">
        <f t="shared" si="17"/>
        <v>27.46</v>
      </c>
      <c r="J167" s="22"/>
      <c r="K167" s="21" t="s">
        <v>33</v>
      </c>
    </row>
    <row r="168" s="2" customFormat="1" customHeight="1" spans="1:11">
      <c r="A168" s="11">
        <v>166</v>
      </c>
      <c r="B168" s="15" t="s">
        <v>84</v>
      </c>
      <c r="C168" s="11" t="str">
        <f>"460033200106013272"</f>
        <v>460033200106013272</v>
      </c>
      <c r="D168" s="15" t="s">
        <v>203</v>
      </c>
      <c r="E168" s="12">
        <v>68.36</v>
      </c>
      <c r="F168" s="13">
        <f t="shared" si="15"/>
        <v>27.34</v>
      </c>
      <c r="G168" s="23">
        <v>0</v>
      </c>
      <c r="H168" s="13">
        <f t="shared" si="16"/>
        <v>0</v>
      </c>
      <c r="I168" s="13">
        <f t="shared" si="17"/>
        <v>27.34</v>
      </c>
      <c r="J168" s="22"/>
      <c r="K168" s="21" t="s">
        <v>33</v>
      </c>
    </row>
    <row r="169" s="2" customFormat="1" customHeight="1" spans="1:11">
      <c r="A169" s="11">
        <v>167</v>
      </c>
      <c r="B169" s="15" t="s">
        <v>84</v>
      </c>
      <c r="C169" s="11" t="str">
        <f>"460002200112082819"</f>
        <v>460002200112082819</v>
      </c>
      <c r="D169" s="15" t="s">
        <v>204</v>
      </c>
      <c r="E169" s="12">
        <v>68.36</v>
      </c>
      <c r="F169" s="13">
        <f t="shared" si="15"/>
        <v>27.34</v>
      </c>
      <c r="G169" s="23">
        <v>0</v>
      </c>
      <c r="H169" s="13">
        <f t="shared" si="16"/>
        <v>0</v>
      </c>
      <c r="I169" s="13">
        <f t="shared" si="17"/>
        <v>27.34</v>
      </c>
      <c r="J169" s="22"/>
      <c r="K169" s="21" t="s">
        <v>33</v>
      </c>
    </row>
    <row r="170" s="2" customFormat="1" customHeight="1" spans="1:11">
      <c r="A170" s="11">
        <v>168</v>
      </c>
      <c r="B170" s="15" t="s">
        <v>84</v>
      </c>
      <c r="C170" s="11" t="str">
        <f>"469003200111186127"</f>
        <v>469003200111186127</v>
      </c>
      <c r="D170" s="15" t="s">
        <v>205</v>
      </c>
      <c r="E170" s="12">
        <v>68.12</v>
      </c>
      <c r="F170" s="13">
        <f t="shared" si="15"/>
        <v>27.25</v>
      </c>
      <c r="G170" s="23">
        <v>0</v>
      </c>
      <c r="H170" s="13">
        <f t="shared" si="16"/>
        <v>0</v>
      </c>
      <c r="I170" s="13">
        <f t="shared" si="17"/>
        <v>27.25</v>
      </c>
      <c r="J170" s="22"/>
      <c r="K170" s="21" t="s">
        <v>33</v>
      </c>
    </row>
    <row r="171" s="2" customFormat="1" customHeight="1" spans="1:11">
      <c r="A171" s="11">
        <v>169</v>
      </c>
      <c r="B171" s="15" t="s">
        <v>84</v>
      </c>
      <c r="C171" s="11" t="str">
        <f>"469007200006144967"</f>
        <v>469007200006144967</v>
      </c>
      <c r="D171" s="15" t="s">
        <v>206</v>
      </c>
      <c r="E171" s="12">
        <v>67.36</v>
      </c>
      <c r="F171" s="13">
        <f t="shared" si="15"/>
        <v>26.94</v>
      </c>
      <c r="G171" s="23">
        <v>0</v>
      </c>
      <c r="H171" s="13">
        <f t="shared" si="16"/>
        <v>0</v>
      </c>
      <c r="I171" s="13">
        <f t="shared" si="17"/>
        <v>26.94</v>
      </c>
      <c r="J171" s="22"/>
      <c r="K171" s="21" t="s">
        <v>33</v>
      </c>
    </row>
    <row r="172" s="2" customFormat="1" customHeight="1" spans="1:11">
      <c r="A172" s="11">
        <v>170</v>
      </c>
      <c r="B172" s="15" t="s">
        <v>84</v>
      </c>
      <c r="C172" s="11" t="str">
        <f>"460033200104083883"</f>
        <v>460033200104083883</v>
      </c>
      <c r="D172" s="15" t="s">
        <v>207</v>
      </c>
      <c r="E172" s="12">
        <v>66.36</v>
      </c>
      <c r="F172" s="13">
        <f t="shared" si="15"/>
        <v>26.54</v>
      </c>
      <c r="G172" s="14">
        <v>0</v>
      </c>
      <c r="H172" s="13">
        <f t="shared" si="16"/>
        <v>0</v>
      </c>
      <c r="I172" s="13">
        <f t="shared" si="17"/>
        <v>26.54</v>
      </c>
      <c r="J172" s="22"/>
      <c r="K172" s="21" t="s">
        <v>208</v>
      </c>
    </row>
    <row r="173" s="2" customFormat="1" customHeight="1" spans="1:11">
      <c r="A173" s="11">
        <v>171</v>
      </c>
      <c r="B173" s="15" t="s">
        <v>84</v>
      </c>
      <c r="C173" s="11" t="str">
        <f>"460003200209251849"</f>
        <v>460003200209251849</v>
      </c>
      <c r="D173" s="15" t="s">
        <v>209</v>
      </c>
      <c r="E173" s="12">
        <v>65.56</v>
      </c>
      <c r="F173" s="13">
        <f t="shared" si="15"/>
        <v>26.22</v>
      </c>
      <c r="G173" s="23">
        <v>0</v>
      </c>
      <c r="H173" s="13">
        <f t="shared" si="16"/>
        <v>0</v>
      </c>
      <c r="I173" s="13">
        <f t="shared" si="17"/>
        <v>26.22</v>
      </c>
      <c r="J173" s="22"/>
      <c r="K173" s="21" t="s">
        <v>33</v>
      </c>
    </row>
  </sheetData>
  <sheetProtection password="EEB7" sheet="1" objects="1"/>
  <mergeCells count="1">
    <mergeCell ref="A1:K1"/>
  </mergeCells>
  <conditionalFormatting sqref="D115:D125">
    <cfRule type="duplicateValues" dxfId="0" priority="5"/>
  </conditionalFormatting>
  <conditionalFormatting sqref="D142:D173">
    <cfRule type="duplicateValues" dxfId="0" priority="4"/>
  </conditionalFormatting>
  <printOptions horizontalCentered="1"/>
  <pageMargins left="0.0388888888888889" right="0.0388888888888889" top="0.275" bottom="0.196527777777778" header="0.196527777777778" footer="0.0784722222222222"/>
  <pageSetup paperSize="9" scale="96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郭媛媛</cp:lastModifiedBy>
  <dcterms:created xsi:type="dcterms:W3CDTF">2024-04-28T02:35:00Z</dcterms:created>
  <cp:lastPrinted>2024-04-30T06:24:00Z</cp:lastPrinted>
  <dcterms:modified xsi:type="dcterms:W3CDTF">2024-04-30T08:01:33Z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0FE2AD10421344BA869F83AAA3A914D2_11</vt:lpwstr>
  </property>
  <property fmtid="{D5CDD505-2E9C-101B-9397-08002B2CF9AE}" pid="3" name="KSOProductBuildVer">
    <vt:lpwstr>2052-12.1.0.16250</vt:lpwstr>
  </property>
</Properties>
</file>