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sheet1!$A$3:$F$9460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<sst xmlns="http://schemas.openxmlformats.org/spreadsheetml/2006/main" count="28379" uniqueCount="9008">
  <si>
    <t>附件：</t>
  </si>
  <si>
    <t>海口市秀英区2024年公开招聘中小学教师报名资格初审合格人员名单</t>
  </si>
  <si>
    <t>序号</t>
  </si>
  <si>
    <t>岗位编码</t>
  </si>
  <si>
    <t>学科</t>
  </si>
  <si>
    <t>姓名</t>
  </si>
  <si>
    <t>报考序号</t>
  </si>
  <si>
    <t>备注</t>
  </si>
  <si>
    <t>101</t>
  </si>
  <si>
    <t>小学道德与法治</t>
  </si>
  <si>
    <t>聂文玲</t>
  </si>
  <si>
    <t>黄慧欣</t>
  </si>
  <si>
    <t>麦梦帆</t>
  </si>
  <si>
    <t>廖贻芳</t>
  </si>
  <si>
    <t>魏薇薇</t>
  </si>
  <si>
    <t>王雅梅</t>
  </si>
  <si>
    <t>刘慈玲</t>
  </si>
  <si>
    <t>林婷婷</t>
  </si>
  <si>
    <t>林明杰</t>
  </si>
  <si>
    <t>胡姣妙</t>
  </si>
  <si>
    <t>韩冬虹</t>
  </si>
  <si>
    <t>黄施格</t>
  </si>
  <si>
    <t>金玺</t>
  </si>
  <si>
    <t>王小云</t>
  </si>
  <si>
    <t>黄冬情</t>
  </si>
  <si>
    <t>黄小豪</t>
  </si>
  <si>
    <t>廖梦琦</t>
  </si>
  <si>
    <t>梁又斤</t>
  </si>
  <si>
    <t>王小浪</t>
  </si>
  <si>
    <t>赵翌彤</t>
  </si>
  <si>
    <t>陈琪</t>
  </si>
  <si>
    <t>陈德川</t>
  </si>
  <si>
    <t>陈海芬</t>
  </si>
  <si>
    <t>邓灵敏</t>
  </si>
  <si>
    <t>苏小妹</t>
  </si>
  <si>
    <t>李伟</t>
  </si>
  <si>
    <t>洪书华</t>
  </si>
  <si>
    <t>卢玉玲</t>
  </si>
  <si>
    <t>尹薪宇</t>
  </si>
  <si>
    <t>王雨婷</t>
  </si>
  <si>
    <t>梁彩波</t>
  </si>
  <si>
    <t>叶箐瑛</t>
  </si>
  <si>
    <t>林瑶芬</t>
  </si>
  <si>
    <t>令仕欣</t>
  </si>
  <si>
    <t>李亚佳</t>
  </si>
  <si>
    <t>黄丹</t>
  </si>
  <si>
    <t>潘思立</t>
  </si>
  <si>
    <t>李美也</t>
  </si>
  <si>
    <t>韦海巾</t>
  </si>
  <si>
    <t>王小敏</t>
  </si>
  <si>
    <t>罗梅香</t>
  </si>
  <si>
    <t>韩财畴</t>
  </si>
  <si>
    <t>陈青莉</t>
  </si>
  <si>
    <t>郝伟</t>
  </si>
  <si>
    <t>王韵蕊</t>
  </si>
  <si>
    <t>林小曼</t>
  </si>
  <si>
    <t>吴儒霞</t>
  </si>
  <si>
    <t>吴倩</t>
  </si>
  <si>
    <t>朱兰芝</t>
  </si>
  <si>
    <t>周活</t>
  </si>
  <si>
    <t>李祥燕</t>
  </si>
  <si>
    <t>周婷</t>
  </si>
  <si>
    <t>卓林慧</t>
  </si>
  <si>
    <t>邓小金</t>
  </si>
  <si>
    <t>黄蕊</t>
  </si>
  <si>
    <t>黄小果</t>
  </si>
  <si>
    <t>赵双雨</t>
  </si>
  <si>
    <t>林碧云</t>
  </si>
  <si>
    <t>殷雪</t>
  </si>
  <si>
    <t>万卓秀</t>
  </si>
  <si>
    <t>丁雨星</t>
  </si>
  <si>
    <t>郑玲玲</t>
  </si>
  <si>
    <t>冯悦</t>
  </si>
  <si>
    <t>陈少密</t>
  </si>
  <si>
    <t>陈善娟</t>
  </si>
  <si>
    <t>王肖肖</t>
  </si>
  <si>
    <t>祁符萍</t>
  </si>
  <si>
    <t>刘亚芬</t>
  </si>
  <si>
    <t>符淑平</t>
  </si>
  <si>
    <t>黄国玲</t>
  </si>
  <si>
    <t>符桃英</t>
  </si>
  <si>
    <t>钟薇</t>
  </si>
  <si>
    <t>吴莹莹</t>
  </si>
  <si>
    <t>吴嘉德</t>
  </si>
  <si>
    <t>吴晓娟</t>
  </si>
  <si>
    <t>林丽娜</t>
  </si>
  <si>
    <t>陈彬</t>
  </si>
  <si>
    <t>吴玉暖</t>
  </si>
  <si>
    <t>李少敏</t>
  </si>
  <si>
    <t>符芮帆</t>
  </si>
  <si>
    <t>黄志灵</t>
  </si>
  <si>
    <t>曾丽莎</t>
  </si>
  <si>
    <t>胡香云</t>
  </si>
  <si>
    <t>陈燕</t>
  </si>
  <si>
    <t>古裕焕</t>
  </si>
  <si>
    <t>邓云花</t>
  </si>
  <si>
    <t>杜卡婷</t>
  </si>
  <si>
    <t>唐全玲</t>
  </si>
  <si>
    <t>韦健秋</t>
  </si>
  <si>
    <t>张泽茹</t>
  </si>
  <si>
    <t>杨艳芳</t>
  </si>
  <si>
    <t>邢翠婷</t>
  </si>
  <si>
    <t>孙云霞</t>
  </si>
  <si>
    <t>刘玮</t>
  </si>
  <si>
    <t>翁龙丹</t>
  </si>
  <si>
    <t>冯霞</t>
  </si>
  <si>
    <t>李永容</t>
  </si>
  <si>
    <t>吴静怡</t>
  </si>
  <si>
    <t>邓秋如</t>
  </si>
  <si>
    <t>潘玉叶</t>
  </si>
  <si>
    <t>陈秀静</t>
  </si>
  <si>
    <t>唐俊妍</t>
  </si>
  <si>
    <t>杜小慧</t>
  </si>
  <si>
    <t>陈佳欣</t>
  </si>
  <si>
    <t>莫镕蔚</t>
  </si>
  <si>
    <t>符宠祝</t>
  </si>
  <si>
    <t>郑晓莹</t>
  </si>
  <si>
    <t>周萍</t>
  </si>
  <si>
    <t>黄民姣</t>
  </si>
  <si>
    <t>符芸滢</t>
  </si>
  <si>
    <t>王钜</t>
  </si>
  <si>
    <t>羊小佩</t>
  </si>
  <si>
    <t>林惠萍</t>
  </si>
  <si>
    <t>卜凡晔</t>
  </si>
  <si>
    <t>林思彤</t>
  </si>
  <si>
    <t>谢淑英</t>
  </si>
  <si>
    <t>高佩玲</t>
  </si>
  <si>
    <t>王艳</t>
  </si>
  <si>
    <t>盛子惠</t>
  </si>
  <si>
    <t>王劭慧</t>
  </si>
  <si>
    <t>颜俊</t>
  </si>
  <si>
    <t>徐越</t>
  </si>
  <si>
    <t>陈玉清</t>
  </si>
  <si>
    <t>桂雪</t>
  </si>
  <si>
    <t>王雪萍</t>
  </si>
  <si>
    <t>王颖</t>
  </si>
  <si>
    <t>陈心怡</t>
  </si>
  <si>
    <t>柯亚东</t>
  </si>
  <si>
    <t>房柯宇</t>
  </si>
  <si>
    <t>饶小萱</t>
  </si>
  <si>
    <t>黎玉花</t>
  </si>
  <si>
    <t>刘禹</t>
  </si>
  <si>
    <t>王侦</t>
  </si>
  <si>
    <t>石茜月</t>
  </si>
  <si>
    <t>曾娟</t>
  </si>
  <si>
    <t>孙园</t>
  </si>
  <si>
    <t>杨婧</t>
  </si>
  <si>
    <t>王盈</t>
  </si>
  <si>
    <t>刘玉</t>
  </si>
  <si>
    <t>苏燕珍</t>
  </si>
  <si>
    <t>邱丽翔</t>
  </si>
  <si>
    <t>黄晶莹</t>
  </si>
  <si>
    <t>符素怡</t>
  </si>
  <si>
    <t>吴晓爱</t>
  </si>
  <si>
    <t>卓云娇</t>
  </si>
  <si>
    <t>陈元冲</t>
  </si>
  <si>
    <t>戴琼旦</t>
  </si>
  <si>
    <t>孙学好</t>
  </si>
  <si>
    <t>胡颂萱</t>
  </si>
  <si>
    <t>陈克鸥</t>
  </si>
  <si>
    <t xml:space="preserve">杨梅恩 </t>
  </si>
  <si>
    <t>韩子珍</t>
  </si>
  <si>
    <t>谢欢</t>
  </si>
  <si>
    <t>吴紫莹</t>
  </si>
  <si>
    <t>梁惠霖</t>
  </si>
  <si>
    <t>黄钰</t>
  </si>
  <si>
    <t>许思敏</t>
  </si>
  <si>
    <t>云丹雨</t>
  </si>
  <si>
    <t>王丽飞</t>
  </si>
  <si>
    <t>吴礼秋</t>
  </si>
  <si>
    <t>李宛婷</t>
  </si>
  <si>
    <t>肖慧敏</t>
  </si>
  <si>
    <t>刘晶</t>
  </si>
  <si>
    <t>纪梦雪</t>
  </si>
  <si>
    <t>梁露文</t>
  </si>
  <si>
    <t>许舒琦</t>
  </si>
  <si>
    <t>张子慧</t>
  </si>
  <si>
    <t>张深珠</t>
  </si>
  <si>
    <t>陈炯芳</t>
  </si>
  <si>
    <t>吴名芙</t>
  </si>
  <si>
    <t>黄美娟</t>
  </si>
  <si>
    <t>符薰涵</t>
  </si>
  <si>
    <t>邢玉莹</t>
  </si>
  <si>
    <t>韩馨墨</t>
  </si>
  <si>
    <t>许权锋</t>
  </si>
  <si>
    <t>王玉珍</t>
  </si>
  <si>
    <t>符永秀</t>
  </si>
  <si>
    <t>刘昱均</t>
  </si>
  <si>
    <t>苏娜</t>
  </si>
  <si>
    <t>肖云霜</t>
  </si>
  <si>
    <t>胡香莲</t>
  </si>
  <si>
    <t>王馥芸</t>
  </si>
  <si>
    <t>陈锦春</t>
  </si>
  <si>
    <t>陈立栋</t>
  </si>
  <si>
    <t>陈诗婷</t>
  </si>
  <si>
    <t>陈丽蓉</t>
  </si>
  <si>
    <t>许田田</t>
  </si>
  <si>
    <t>胡萌萌</t>
  </si>
  <si>
    <t>钟丽芳</t>
  </si>
  <si>
    <t>李蝶</t>
  </si>
  <si>
    <t>林莹</t>
  </si>
  <si>
    <t>王星代</t>
  </si>
  <si>
    <t>赵清凡</t>
  </si>
  <si>
    <t>吕芳菲</t>
  </si>
  <si>
    <t>符晓茹</t>
  </si>
  <si>
    <t>许燕菲</t>
  </si>
  <si>
    <t>符志婧</t>
  </si>
  <si>
    <t>李小娜</t>
  </si>
  <si>
    <t>符玉娘</t>
  </si>
  <si>
    <t>林美</t>
  </si>
  <si>
    <t>钟思盈</t>
  </si>
  <si>
    <t>梁玲</t>
  </si>
  <si>
    <t>龚娟</t>
  </si>
  <si>
    <t>鲁祥莉</t>
  </si>
  <si>
    <t>林丽新</t>
  </si>
  <si>
    <t>陈益平</t>
  </si>
  <si>
    <t>冯玉菲</t>
  </si>
  <si>
    <t>符晓燕</t>
  </si>
  <si>
    <t>薛千娜</t>
  </si>
  <si>
    <t>黄碧华</t>
  </si>
  <si>
    <t>吴育云</t>
  </si>
  <si>
    <t>符巍</t>
  </si>
  <si>
    <t>张桃香</t>
  </si>
  <si>
    <t>翁婷</t>
  </si>
  <si>
    <t>刘传权</t>
  </si>
  <si>
    <t>卢蝴燕</t>
  </si>
  <si>
    <t>陈雪容</t>
  </si>
  <si>
    <t xml:space="preserve">蒲佳雪 </t>
  </si>
  <si>
    <t>王欣楠</t>
  </si>
  <si>
    <t>黄小妹</t>
  </si>
  <si>
    <t>陈宇馨</t>
  </si>
  <si>
    <t>冼文婷</t>
  </si>
  <si>
    <t>杨蕾</t>
  </si>
  <si>
    <t>王菠</t>
  </si>
  <si>
    <t>曹晓艳</t>
  </si>
  <si>
    <t>吴诗洁</t>
  </si>
  <si>
    <t>符冬婷</t>
  </si>
  <si>
    <t>曾露</t>
  </si>
  <si>
    <t>孙瑶</t>
  </si>
  <si>
    <t>韦卫天</t>
  </si>
  <si>
    <t>徐婷婷</t>
  </si>
  <si>
    <t>吴富菊</t>
  </si>
  <si>
    <t>林嗣丽</t>
  </si>
  <si>
    <t>刘芳原</t>
  </si>
  <si>
    <t>伍珊珊</t>
  </si>
  <si>
    <t>林思阳</t>
  </si>
  <si>
    <t>邱雪玲</t>
  </si>
  <si>
    <t>吴传丽</t>
  </si>
  <si>
    <t>陈茵茵</t>
  </si>
  <si>
    <t>王锡霞</t>
  </si>
  <si>
    <t>黄许英</t>
  </si>
  <si>
    <t>谢晓妹</t>
  </si>
  <si>
    <t>刘琪</t>
  </si>
  <si>
    <t>苏丽雅</t>
  </si>
  <si>
    <t>陈洪娇</t>
  </si>
  <si>
    <t>谢茜</t>
  </si>
  <si>
    <t>吴春秀</t>
  </si>
  <si>
    <t>陈嘉嘉</t>
  </si>
  <si>
    <t>苏斌斌</t>
  </si>
  <si>
    <t>102</t>
  </si>
  <si>
    <t>李妹</t>
  </si>
  <si>
    <t>王淑平</t>
  </si>
  <si>
    <t>符秋艳</t>
  </si>
  <si>
    <t>龚川粮</t>
  </si>
  <si>
    <t>苏春品</t>
  </si>
  <si>
    <t>张在花</t>
  </si>
  <si>
    <t>杨亭</t>
  </si>
  <si>
    <t>冼小蕾</t>
  </si>
  <si>
    <t>符金飞</t>
  </si>
  <si>
    <t>王祚棋</t>
  </si>
  <si>
    <t>刘红怡</t>
  </si>
  <si>
    <t>梁雪棚</t>
  </si>
  <si>
    <t>蔡仁劲</t>
  </si>
  <si>
    <t>黎钟文</t>
  </si>
  <si>
    <t>高姜梅</t>
  </si>
  <si>
    <t>林朝琼</t>
  </si>
  <si>
    <t>尹文静</t>
  </si>
  <si>
    <t>洪三姐</t>
  </si>
  <si>
    <t>林娟</t>
  </si>
  <si>
    <t>刘颖</t>
  </si>
  <si>
    <t>梁译匀</t>
  </si>
  <si>
    <t>陈欣</t>
  </si>
  <si>
    <t>李东宇</t>
  </si>
  <si>
    <t>符淑浈</t>
  </si>
  <si>
    <t>蔡小琼</t>
  </si>
  <si>
    <t>梁嘉金</t>
  </si>
  <si>
    <t>李玲</t>
  </si>
  <si>
    <t>李维玲</t>
  </si>
  <si>
    <t>周永菲</t>
  </si>
  <si>
    <t>陈施虹</t>
  </si>
  <si>
    <t>王思文</t>
  </si>
  <si>
    <t>张蕾</t>
  </si>
  <si>
    <t>周芷宇</t>
  </si>
  <si>
    <t>陈秋萍</t>
  </si>
  <si>
    <t>梁佳仪</t>
  </si>
  <si>
    <t>马丽少</t>
  </si>
  <si>
    <t>李冬菊</t>
  </si>
  <si>
    <t>杨娇丽</t>
  </si>
  <si>
    <t>陈蕾</t>
  </si>
  <si>
    <t>李家玉</t>
  </si>
  <si>
    <t>吴敏</t>
  </si>
  <si>
    <t>郭伟</t>
  </si>
  <si>
    <t>刘海珍</t>
  </si>
  <si>
    <t>符丽莉</t>
  </si>
  <si>
    <t>王帮潇</t>
  </si>
  <si>
    <t>何英女</t>
  </si>
  <si>
    <t>李浩</t>
  </si>
  <si>
    <t>王丹女</t>
  </si>
  <si>
    <t>陈玉婷</t>
  </si>
  <si>
    <t>林莉青</t>
  </si>
  <si>
    <t>罗紫兰</t>
  </si>
  <si>
    <t>张佳佳</t>
  </si>
  <si>
    <t>秦秋悦</t>
  </si>
  <si>
    <t>秦梦秋</t>
  </si>
  <si>
    <t>颜斌珍</t>
  </si>
  <si>
    <t>林英</t>
  </si>
  <si>
    <t>唐妮</t>
  </si>
  <si>
    <t>陈梅</t>
  </si>
  <si>
    <t>张海梅</t>
  </si>
  <si>
    <t>钟红灵</t>
  </si>
  <si>
    <t>赵诗贤</t>
  </si>
  <si>
    <t>黄梦紫</t>
  </si>
  <si>
    <t>钟依凝</t>
  </si>
  <si>
    <t>陈婆乾</t>
  </si>
  <si>
    <t>黄诗淇</t>
  </si>
  <si>
    <t>杨小钰</t>
  </si>
  <si>
    <t>麦娜</t>
  </si>
  <si>
    <t>邓颖</t>
  </si>
  <si>
    <t>孙钰颖</t>
  </si>
  <si>
    <t>符心慧</t>
  </si>
  <si>
    <t>古丽平</t>
  </si>
  <si>
    <t>黄梦露</t>
  </si>
  <si>
    <t>林煌茨</t>
  </si>
  <si>
    <t>吴少妮</t>
  </si>
  <si>
    <t>吴昊</t>
  </si>
  <si>
    <t>曹元吉</t>
  </si>
  <si>
    <t>陈小惠</t>
  </si>
  <si>
    <t>高海凤</t>
  </si>
  <si>
    <t>夏翠丽</t>
  </si>
  <si>
    <t>孙器端</t>
  </si>
  <si>
    <t>黄丽婷</t>
  </si>
  <si>
    <t>陈晓乐</t>
  </si>
  <si>
    <t>王海虹</t>
  </si>
  <si>
    <t>吴带秀</t>
  </si>
  <si>
    <t>黄婷婷</t>
  </si>
  <si>
    <t>朱春蕾</t>
  </si>
  <si>
    <t>陈逸荞</t>
  </si>
  <si>
    <t>邢妮雅</t>
  </si>
  <si>
    <t>林赐丹</t>
  </si>
  <si>
    <t>林正怡</t>
  </si>
  <si>
    <t>李鹏</t>
  </si>
  <si>
    <t>张春茹</t>
  </si>
  <si>
    <t>李启栋</t>
  </si>
  <si>
    <t>符彩霞</t>
  </si>
  <si>
    <t>张英文</t>
  </si>
  <si>
    <t>林海宁</t>
  </si>
  <si>
    <t>朱照桃</t>
  </si>
  <si>
    <t>胡小纱</t>
  </si>
  <si>
    <t>黎昌丽</t>
  </si>
  <si>
    <t>周波</t>
  </si>
  <si>
    <t>羊仙爱</t>
  </si>
  <si>
    <t>杨庆</t>
  </si>
  <si>
    <t>方忠鑫</t>
  </si>
  <si>
    <t>汤昌琦</t>
  </si>
  <si>
    <t>岑云玲</t>
  </si>
  <si>
    <t>薛桃花</t>
  </si>
  <si>
    <t>王桃瑞</t>
  </si>
  <si>
    <t>丁珊珊</t>
  </si>
  <si>
    <t>杨兴</t>
  </si>
  <si>
    <t>谢咪咪</t>
  </si>
  <si>
    <t>黄雪琴</t>
  </si>
  <si>
    <t>许宇雪</t>
  </si>
  <si>
    <t>卢海燕</t>
  </si>
  <si>
    <t>吴娟爱</t>
  </si>
  <si>
    <t>黎姑小</t>
  </si>
  <si>
    <t>符世蓉</t>
  </si>
  <si>
    <t>张子倩</t>
  </si>
  <si>
    <t>郭君</t>
  </si>
  <si>
    <t>苏梦</t>
  </si>
  <si>
    <t>文金静</t>
  </si>
  <si>
    <t>陈小连</t>
  </si>
  <si>
    <t>许文雅</t>
  </si>
  <si>
    <t>陈湘柠</t>
  </si>
  <si>
    <t>吴海霞</t>
  </si>
  <si>
    <t>蔡紫怡</t>
  </si>
  <si>
    <t>赵天娇</t>
  </si>
  <si>
    <t>黄美星</t>
  </si>
  <si>
    <t>李惠珠</t>
  </si>
  <si>
    <t>苏茹</t>
  </si>
  <si>
    <t>周曼云</t>
  </si>
  <si>
    <t>黄昌锐</t>
  </si>
  <si>
    <t>冼慧萍</t>
  </si>
  <si>
    <t>甘运来</t>
  </si>
  <si>
    <t>周晓</t>
  </si>
  <si>
    <t>王冰雪</t>
  </si>
  <si>
    <t>林天娇</t>
  </si>
  <si>
    <t>许钰洁</t>
  </si>
  <si>
    <t>邢少娜</t>
  </si>
  <si>
    <t>梁雪怡</t>
  </si>
  <si>
    <t>洪英凤</t>
  </si>
  <si>
    <t>羿文璐</t>
  </si>
  <si>
    <t>廖忠基</t>
  </si>
  <si>
    <t>杨湘湘</t>
  </si>
  <si>
    <t>吴怡</t>
  </si>
  <si>
    <t>黎宏厚</t>
  </si>
  <si>
    <t>吉尼斯</t>
  </si>
  <si>
    <t>董凯进</t>
  </si>
  <si>
    <t>符尾女</t>
  </si>
  <si>
    <t>邢一耘</t>
  </si>
  <si>
    <t>陈燕菊</t>
  </si>
  <si>
    <t>吴兰</t>
  </si>
  <si>
    <t>苏丽萍</t>
  </si>
  <si>
    <t>王丽雅</t>
  </si>
  <si>
    <t>吴锋</t>
  </si>
  <si>
    <t>梁宝月</t>
  </si>
  <si>
    <t>梁玉</t>
  </si>
  <si>
    <t>王小媚</t>
  </si>
  <si>
    <t>李月美</t>
  </si>
  <si>
    <t>罗希特</t>
  </si>
  <si>
    <t>李茵</t>
  </si>
  <si>
    <t>李雪皓</t>
  </si>
  <si>
    <t>罗夏萍</t>
  </si>
  <si>
    <t>王慧君</t>
  </si>
  <si>
    <t>谢芯欣</t>
  </si>
  <si>
    <t>张冠琳</t>
  </si>
  <si>
    <t>卢燕玲</t>
  </si>
  <si>
    <t>陈寒婷</t>
  </si>
  <si>
    <t>吴青青</t>
  </si>
  <si>
    <t>羊丽英</t>
  </si>
  <si>
    <t>何倩云</t>
  </si>
  <si>
    <t>关海萍</t>
  </si>
  <si>
    <t>李桂萍</t>
  </si>
  <si>
    <t>蔡亲贝</t>
  </si>
  <si>
    <t>吴莲菊</t>
  </si>
  <si>
    <t>黄正华</t>
  </si>
  <si>
    <t>邓小微</t>
  </si>
  <si>
    <t>冼向玲</t>
  </si>
  <si>
    <t>李婷</t>
  </si>
  <si>
    <t>王菊</t>
  </si>
  <si>
    <t>陈春晓</t>
  </si>
  <si>
    <t>黄姗柳</t>
  </si>
  <si>
    <t>吴亚静</t>
  </si>
  <si>
    <t>庞广灵</t>
  </si>
  <si>
    <t>蔡婷婷</t>
  </si>
  <si>
    <t>朱龙聪</t>
  </si>
  <si>
    <t>张海虹</t>
  </si>
  <si>
    <t>黎雨</t>
  </si>
  <si>
    <t>王健汝</t>
  </si>
  <si>
    <t>兰晓莹</t>
  </si>
  <si>
    <t>卢缘凤</t>
  </si>
  <si>
    <t>邓小玉</t>
  </si>
  <si>
    <t>王誉蓉</t>
  </si>
  <si>
    <t>高玉贞</t>
  </si>
  <si>
    <t>徐芳</t>
  </si>
  <si>
    <t>李瞳</t>
  </si>
  <si>
    <t>黄妹</t>
  </si>
  <si>
    <t>黄佳红</t>
  </si>
  <si>
    <t>谢芬</t>
  </si>
  <si>
    <t>吴小静</t>
  </si>
  <si>
    <t>羊秀女</t>
  </si>
  <si>
    <t>陈妙雅</t>
  </si>
  <si>
    <t>李志秋</t>
  </si>
  <si>
    <t>黄燕春</t>
  </si>
  <si>
    <t>王汉春</t>
  </si>
  <si>
    <t>王乃朴</t>
  </si>
  <si>
    <t>陈忆凝</t>
  </si>
  <si>
    <t>黄彩欣</t>
  </si>
  <si>
    <t>张松贝</t>
  </si>
  <si>
    <t>毛泽秋</t>
  </si>
  <si>
    <t>李秀英</t>
  </si>
  <si>
    <t>邹强</t>
  </si>
  <si>
    <t>谭丽莹</t>
  </si>
  <si>
    <t>汤玉丹</t>
  </si>
  <si>
    <t>曾万英</t>
  </si>
  <si>
    <t>黄俏翠</t>
  </si>
  <si>
    <t>周乃超</t>
  </si>
  <si>
    <t>杨晶</t>
  </si>
  <si>
    <t>张思慧</t>
  </si>
  <si>
    <t>朱彩丽</t>
  </si>
  <si>
    <t>麦珠绮</t>
  </si>
  <si>
    <t>王巧怡</t>
  </si>
  <si>
    <t>吉训玉</t>
  </si>
  <si>
    <t>林永教</t>
  </si>
  <si>
    <t>陈转</t>
  </si>
  <si>
    <t>高元珍</t>
  </si>
  <si>
    <t>王德丽</t>
  </si>
  <si>
    <t>万奕欣</t>
  </si>
  <si>
    <t>陈海珊</t>
  </si>
  <si>
    <t>石晶</t>
  </si>
  <si>
    <t>洪桂婷</t>
  </si>
  <si>
    <t>陈淑娩</t>
  </si>
  <si>
    <t>钟鹤莹</t>
  </si>
  <si>
    <t>吴文谋</t>
  </si>
  <si>
    <t>王小山</t>
  </si>
  <si>
    <t>林文娟</t>
  </si>
  <si>
    <t>李柄谕</t>
  </si>
  <si>
    <t>韦晓茹</t>
  </si>
  <si>
    <t>郑静彤</t>
  </si>
  <si>
    <t>符丽叶</t>
  </si>
  <si>
    <t>周颂玉</t>
  </si>
  <si>
    <t>陈子女</t>
  </si>
  <si>
    <t>邓翠坤</t>
  </si>
  <si>
    <t>郑丽丽</t>
  </si>
  <si>
    <t>周敏</t>
  </si>
  <si>
    <t>张夏敏</t>
  </si>
  <si>
    <t>陈妹</t>
  </si>
  <si>
    <t>黎阿娇</t>
  </si>
  <si>
    <t>陈小玲</t>
  </si>
  <si>
    <t>林心悦</t>
  </si>
  <si>
    <t>冯怡</t>
  </si>
  <si>
    <t>何发川</t>
  </si>
  <si>
    <t>冯娟</t>
  </si>
  <si>
    <t>唐小英</t>
  </si>
  <si>
    <t>吴丹丹</t>
  </si>
  <si>
    <t>孙晓微</t>
  </si>
  <si>
    <t>吕夏</t>
  </si>
  <si>
    <t>赵月秀</t>
  </si>
  <si>
    <t>卞燕丽</t>
  </si>
  <si>
    <t>吴花风</t>
  </si>
  <si>
    <t>吴静</t>
  </si>
  <si>
    <t>郭妹雄</t>
  </si>
  <si>
    <t>王玉秀</t>
  </si>
  <si>
    <t>吴小梅</t>
  </si>
  <si>
    <t>张陈忠</t>
  </si>
  <si>
    <t>吴伊凡</t>
  </si>
  <si>
    <t>骆千慧</t>
  </si>
  <si>
    <t>符秋瑜</t>
  </si>
  <si>
    <t>李香香</t>
  </si>
  <si>
    <t>廖小叶</t>
  </si>
  <si>
    <t>103</t>
  </si>
  <si>
    <t>小学科学</t>
  </si>
  <si>
    <t>罗张芬</t>
  </si>
  <si>
    <t>郑远涵</t>
  </si>
  <si>
    <t>王彩旺</t>
  </si>
  <si>
    <t>莫姜莹</t>
  </si>
  <si>
    <t>罗丹</t>
  </si>
  <si>
    <t>林志纬</t>
  </si>
  <si>
    <t>邢维源</t>
  </si>
  <si>
    <t>吴凤英</t>
  </si>
  <si>
    <t>徐鑫</t>
  </si>
  <si>
    <t>罗海秘</t>
  </si>
  <si>
    <t>黄丽娜</t>
  </si>
  <si>
    <t>符鲜风</t>
  </si>
  <si>
    <t>贾维</t>
  </si>
  <si>
    <t>张柏琳</t>
  </si>
  <si>
    <t>袁艺</t>
  </si>
  <si>
    <t>布蕾</t>
  </si>
  <si>
    <t>董龙根</t>
  </si>
  <si>
    <t>周秀阳</t>
  </si>
  <si>
    <t>林敏敏</t>
  </si>
  <si>
    <t>孙树勤</t>
  </si>
  <si>
    <t>纪顺师</t>
  </si>
  <si>
    <t>陈芳莹</t>
  </si>
  <si>
    <t>傅娇曼</t>
  </si>
  <si>
    <t>谢结惠</t>
  </si>
  <si>
    <t>符传奇</t>
  </si>
  <si>
    <t>孙艺菲</t>
  </si>
  <si>
    <t>潘冰冰</t>
  </si>
  <si>
    <t>叶静涵</t>
  </si>
  <si>
    <t>苏彦池</t>
  </si>
  <si>
    <t>王雨欣</t>
  </si>
  <si>
    <t>杜海恋</t>
  </si>
  <si>
    <t>姚莹</t>
  </si>
  <si>
    <t>周冬雪</t>
  </si>
  <si>
    <t>王彩琳</t>
  </si>
  <si>
    <t>刘文静</t>
  </si>
  <si>
    <t>卢运芳</t>
  </si>
  <si>
    <t>符燕萍</t>
  </si>
  <si>
    <t>陈小丽</t>
  </si>
  <si>
    <t>薛婆保</t>
  </si>
  <si>
    <t>吴虹燕</t>
  </si>
  <si>
    <t>蔡蕾</t>
  </si>
  <si>
    <t>宫秀秀</t>
  </si>
  <si>
    <t>吴维雅</t>
  </si>
  <si>
    <t>黎明翠</t>
  </si>
  <si>
    <t>胡吉玲</t>
  </si>
  <si>
    <t>吴岛荣</t>
  </si>
  <si>
    <t>蔡雨昕</t>
  </si>
  <si>
    <t>施紫丹</t>
  </si>
  <si>
    <t>王小亚</t>
  </si>
  <si>
    <t>符晓颖</t>
  </si>
  <si>
    <t>陈美彤</t>
  </si>
  <si>
    <t>孟翔</t>
  </si>
  <si>
    <t>黄依依</t>
  </si>
  <si>
    <t>陈彩玉</t>
  </si>
  <si>
    <t>罗小红</t>
  </si>
  <si>
    <t>王文香</t>
  </si>
  <si>
    <t>黄倩</t>
  </si>
  <si>
    <t>郑智莹</t>
  </si>
  <si>
    <t>符春英</t>
  </si>
  <si>
    <t>张作敏</t>
  </si>
  <si>
    <t>杨慧慧</t>
  </si>
  <si>
    <t>周春丞</t>
  </si>
  <si>
    <t>梁昌爽</t>
  </si>
  <si>
    <t>张元馨</t>
  </si>
  <si>
    <t>王云萍</t>
  </si>
  <si>
    <t>何怡</t>
  </si>
  <si>
    <t>谢静茜</t>
  </si>
  <si>
    <t>邱丽芳</t>
  </si>
  <si>
    <t>林名宝</t>
  </si>
  <si>
    <t>吴琪</t>
  </si>
  <si>
    <t>李萍</t>
  </si>
  <si>
    <t>陈应间</t>
  </si>
  <si>
    <t>孙显新</t>
  </si>
  <si>
    <t>张天洁</t>
  </si>
  <si>
    <t>符国爱</t>
  </si>
  <si>
    <t>符家峰</t>
  </si>
  <si>
    <t>李海星</t>
  </si>
  <si>
    <t>李秋萍</t>
  </si>
  <si>
    <t>黄舒雨</t>
  </si>
  <si>
    <t>李亚球</t>
  </si>
  <si>
    <t>张海韵</t>
  </si>
  <si>
    <t>麦笃萍</t>
  </si>
  <si>
    <t>王妹露</t>
  </si>
  <si>
    <t>张爱</t>
  </si>
  <si>
    <t>黎春花</t>
  </si>
  <si>
    <t>韦道威</t>
  </si>
  <si>
    <t>王丽文</t>
  </si>
  <si>
    <t>陈丽娇</t>
  </si>
  <si>
    <t>刘泽珊</t>
  </si>
  <si>
    <t>杜秀翠</t>
  </si>
  <si>
    <t>文金转</t>
  </si>
  <si>
    <t>叶彩慧</t>
  </si>
  <si>
    <t>杨雨婷</t>
  </si>
  <si>
    <t>钟文玲</t>
  </si>
  <si>
    <t>邓子红</t>
  </si>
  <si>
    <t>王春玉</t>
  </si>
  <si>
    <t>许华央</t>
  </si>
  <si>
    <t>李海霞</t>
  </si>
  <si>
    <t>苏小浩</t>
  </si>
  <si>
    <t>谢红琳</t>
  </si>
  <si>
    <t>唐雪瑶</t>
  </si>
  <si>
    <t>韦如军</t>
  </si>
  <si>
    <t>杨祖皇</t>
  </si>
  <si>
    <t>杨天宇</t>
  </si>
  <si>
    <t>胡冰蕊</t>
  </si>
  <si>
    <t>郭育龙</t>
  </si>
  <si>
    <t>伍春玉</t>
  </si>
  <si>
    <t>王晨</t>
  </si>
  <si>
    <t>张小芳</t>
  </si>
  <si>
    <t>韩茜</t>
  </si>
  <si>
    <t>奚晗</t>
  </si>
  <si>
    <t>毕丽珊</t>
  </si>
  <si>
    <t>宋婷婷</t>
  </si>
  <si>
    <t>王焕妙</t>
  </si>
  <si>
    <t>林泽伟</t>
  </si>
  <si>
    <t>韦馨定</t>
  </si>
  <si>
    <t>莫冬兰</t>
  </si>
  <si>
    <t>林兰宇</t>
  </si>
  <si>
    <t>钟小雪</t>
  </si>
  <si>
    <t>徐晴晴</t>
  </si>
  <si>
    <t>冯玉妹</t>
  </si>
  <si>
    <t>韦卒玉</t>
  </si>
  <si>
    <t>刘汶婷</t>
  </si>
  <si>
    <t>刘夏雨</t>
  </si>
  <si>
    <t>李娜</t>
  </si>
  <si>
    <t>王孟</t>
  </si>
  <si>
    <t>李先</t>
  </si>
  <si>
    <t>唐慧豪</t>
  </si>
  <si>
    <t>陈敏</t>
  </si>
  <si>
    <t>杜雪怡</t>
  </si>
  <si>
    <t>吴仪</t>
  </si>
  <si>
    <t>赵晓明</t>
  </si>
  <si>
    <t>陈桂银</t>
  </si>
  <si>
    <t>林丽萍</t>
  </si>
  <si>
    <t>黄诗蕾</t>
  </si>
  <si>
    <t>104</t>
  </si>
  <si>
    <t>小学美术</t>
  </si>
  <si>
    <t>李齐魏</t>
  </si>
  <si>
    <t>孙小丹</t>
  </si>
  <si>
    <t>罗文</t>
  </si>
  <si>
    <t>曹昱鑫</t>
  </si>
  <si>
    <t>陈梦溪</t>
  </si>
  <si>
    <t>赵佳佳</t>
  </si>
  <si>
    <t>郭蕾芳</t>
  </si>
  <si>
    <t>陈妯</t>
  </si>
  <si>
    <t>施娴</t>
  </si>
  <si>
    <t>张杰</t>
  </si>
  <si>
    <t>李卉</t>
  </si>
  <si>
    <t>万东尼</t>
  </si>
  <si>
    <t>喻东洋</t>
  </si>
  <si>
    <t>温云曼</t>
  </si>
  <si>
    <t>王嘉麟</t>
  </si>
  <si>
    <t>胡巍远</t>
  </si>
  <si>
    <t>钟九生</t>
  </si>
  <si>
    <t>张柔</t>
  </si>
  <si>
    <t>谭邦雪</t>
  </si>
  <si>
    <t>何学真</t>
  </si>
  <si>
    <t>赵哲宇</t>
  </si>
  <si>
    <t>卞港港</t>
  </si>
  <si>
    <t>陈慧英</t>
  </si>
  <si>
    <t>张芸</t>
  </si>
  <si>
    <t>徐冰倩</t>
  </si>
  <si>
    <t>彭悦</t>
  </si>
  <si>
    <t>罗梓萱</t>
  </si>
  <si>
    <t>王小薇</t>
  </si>
  <si>
    <t>张洋</t>
  </si>
  <si>
    <t>冯小艳</t>
  </si>
  <si>
    <t>李振昌</t>
  </si>
  <si>
    <t>陈慧芬</t>
  </si>
  <si>
    <t>谢雨轩</t>
  </si>
  <si>
    <t>韩宝茹</t>
  </si>
  <si>
    <t>郭绍宝</t>
  </si>
  <si>
    <t>陈春宇</t>
  </si>
  <si>
    <t>甘兰</t>
  </si>
  <si>
    <t>王宏泽</t>
  </si>
  <si>
    <t>刘一凡</t>
  </si>
  <si>
    <t>王钰峣</t>
  </si>
  <si>
    <t>郝诗嘉</t>
  </si>
  <si>
    <t>吴坤玉</t>
  </si>
  <si>
    <t>吕爱琳</t>
  </si>
  <si>
    <t>谢盛琪</t>
  </si>
  <si>
    <t>王昱茜</t>
  </si>
  <si>
    <t>潘蕾伊</t>
  </si>
  <si>
    <t>庞丹丹</t>
  </si>
  <si>
    <t>黄长薇</t>
  </si>
  <si>
    <t>刘冰冰</t>
  </si>
  <si>
    <t>李思彤</t>
  </si>
  <si>
    <t>徐加凤</t>
  </si>
  <si>
    <t>陈佳琪</t>
  </si>
  <si>
    <t>张桃珍</t>
  </si>
  <si>
    <t>李姝洁</t>
  </si>
  <si>
    <t>贾子莹</t>
  </si>
  <si>
    <t>林晓丹</t>
  </si>
  <si>
    <t>周夏南</t>
  </si>
  <si>
    <t>钟珍翠</t>
  </si>
  <si>
    <t>杨其轩</t>
  </si>
  <si>
    <t>廖嫣然</t>
  </si>
  <si>
    <t>邵甜甜</t>
  </si>
  <si>
    <t>刘睿笑</t>
  </si>
  <si>
    <t>贾若怡</t>
  </si>
  <si>
    <t>曾扬刚</t>
  </si>
  <si>
    <t>邓静</t>
  </si>
  <si>
    <t>滕雅琪</t>
  </si>
  <si>
    <t>郑清霞</t>
  </si>
  <si>
    <t>陈秀珠</t>
  </si>
  <si>
    <t>朱愉</t>
  </si>
  <si>
    <t>苏圆</t>
  </si>
  <si>
    <t>吴源权</t>
  </si>
  <si>
    <t>唐浩源</t>
  </si>
  <si>
    <t>徐千雯</t>
  </si>
  <si>
    <t>吴志凯</t>
  </si>
  <si>
    <t>许樱潇</t>
  </si>
  <si>
    <t>王庭振</t>
  </si>
  <si>
    <t>谢金珊</t>
  </si>
  <si>
    <t>庄晓曼</t>
  </si>
  <si>
    <t>马晓玲</t>
  </si>
  <si>
    <t>刘军</t>
  </si>
  <si>
    <t>梁杏云</t>
  </si>
  <si>
    <t>朱晴宇</t>
  </si>
  <si>
    <t>黄馨仪</t>
  </si>
  <si>
    <t>蒙绘如</t>
  </si>
  <si>
    <t>杨楠</t>
  </si>
  <si>
    <t>李楚涵</t>
  </si>
  <si>
    <t>范成俍</t>
  </si>
  <si>
    <t>张桦</t>
  </si>
  <si>
    <t>周可维</t>
  </si>
  <si>
    <t>吴楚逸</t>
  </si>
  <si>
    <t>梁森森</t>
  </si>
  <si>
    <t>梁文慧</t>
  </si>
  <si>
    <t>刘雨虹</t>
  </si>
  <si>
    <t>詹冰</t>
  </si>
  <si>
    <t>江丹丹</t>
  </si>
  <si>
    <t>芈俊义</t>
  </si>
  <si>
    <t>左煜瀚</t>
  </si>
  <si>
    <t>詹艳艳</t>
  </si>
  <si>
    <t>符启凡</t>
  </si>
  <si>
    <t>张成</t>
  </si>
  <si>
    <t>宋亚男</t>
  </si>
  <si>
    <t>王浩</t>
  </si>
  <si>
    <t>吴玉芳</t>
  </si>
  <si>
    <t>闫鑫</t>
  </si>
  <si>
    <t>尹黎明</t>
  </si>
  <si>
    <t>鲁雪</t>
  </si>
  <si>
    <t>李爽</t>
  </si>
  <si>
    <t>黄晖景</t>
  </si>
  <si>
    <t>由佳</t>
  </si>
  <si>
    <t>林敏</t>
  </si>
  <si>
    <t>梁晓妹</t>
  </si>
  <si>
    <t>陈小冰</t>
  </si>
  <si>
    <t>赵明</t>
  </si>
  <si>
    <t>杨璐</t>
  </si>
  <si>
    <t>林阁研</t>
  </si>
  <si>
    <t>李冰</t>
  </si>
  <si>
    <t>何广珍</t>
  </si>
  <si>
    <t>毕丁翎</t>
  </si>
  <si>
    <t>彭子键</t>
  </si>
  <si>
    <t>刘晓含</t>
  </si>
  <si>
    <t>隆柳丹</t>
  </si>
  <si>
    <t>邢肖肖</t>
  </si>
  <si>
    <t>杜佳</t>
  </si>
  <si>
    <t>赵俊</t>
  </si>
  <si>
    <t>潘智超</t>
  </si>
  <si>
    <t>包容</t>
  </si>
  <si>
    <t>姜楠</t>
  </si>
  <si>
    <t>王淑煜</t>
  </si>
  <si>
    <t>陈芳</t>
  </si>
  <si>
    <t>黄小芸</t>
  </si>
  <si>
    <t>吴宏裕</t>
  </si>
  <si>
    <t>冼恩禄</t>
  </si>
  <si>
    <t>刘永昌</t>
  </si>
  <si>
    <t>雷彩艺</t>
  </si>
  <si>
    <t>李云寒</t>
  </si>
  <si>
    <t>苻海俊</t>
  </si>
  <si>
    <t>韦明李</t>
  </si>
  <si>
    <t>冯维维</t>
  </si>
  <si>
    <t>任慈</t>
  </si>
  <si>
    <t>陈欣欣</t>
  </si>
  <si>
    <t>叶书情</t>
  </si>
  <si>
    <t>梁旭阳</t>
  </si>
  <si>
    <t>杨慧</t>
  </si>
  <si>
    <t>唐元秀</t>
  </si>
  <si>
    <t>熊芹</t>
  </si>
  <si>
    <t>薛宇彤</t>
  </si>
  <si>
    <t>王梦兰</t>
  </si>
  <si>
    <t>丁悦花</t>
  </si>
  <si>
    <t>李乃龙</t>
  </si>
  <si>
    <t>韩锦琪</t>
  </si>
  <si>
    <t>高睿玉</t>
  </si>
  <si>
    <t>赵航</t>
  </si>
  <si>
    <t>陈小雪</t>
  </si>
  <si>
    <t>张慧恩</t>
  </si>
  <si>
    <t>李倩</t>
  </si>
  <si>
    <t>符雪林</t>
  </si>
  <si>
    <t>刘薇</t>
  </si>
  <si>
    <t>黄恋云</t>
  </si>
  <si>
    <t>李青</t>
  </si>
  <si>
    <t>蔡如双</t>
  </si>
  <si>
    <t>江文斌</t>
  </si>
  <si>
    <t>习灿晨</t>
  </si>
  <si>
    <t>张舒悦</t>
  </si>
  <si>
    <t>高伟</t>
  </si>
  <si>
    <t>王楠</t>
  </si>
  <si>
    <t>沈晏茹</t>
  </si>
  <si>
    <t>刘嘉敏</t>
  </si>
  <si>
    <t>宋秋宇</t>
  </si>
  <si>
    <t>史克壮</t>
  </si>
  <si>
    <t>周佳颖</t>
  </si>
  <si>
    <t>杨学倩</t>
  </si>
  <si>
    <t>孙文</t>
  </si>
  <si>
    <t>赵楚祯</t>
  </si>
  <si>
    <t>彭娜</t>
  </si>
  <si>
    <t>余亚冰</t>
  </si>
  <si>
    <t>谭小菲</t>
  </si>
  <si>
    <t>蔡迎</t>
  </si>
  <si>
    <t>汪晨星</t>
  </si>
  <si>
    <t>张远茹</t>
  </si>
  <si>
    <t>何小丹</t>
  </si>
  <si>
    <t>杨莉</t>
  </si>
  <si>
    <t>曾祥露</t>
  </si>
  <si>
    <t>符慧欣</t>
  </si>
  <si>
    <t>毛文君</t>
  </si>
  <si>
    <t>黄晖</t>
  </si>
  <si>
    <t>郑皓轩</t>
  </si>
  <si>
    <t>朱雪娇</t>
  </si>
  <si>
    <t>李何清</t>
  </si>
  <si>
    <t>彭宗尹</t>
  </si>
  <si>
    <t>王田</t>
  </si>
  <si>
    <t>王凯伦</t>
  </si>
  <si>
    <t>张丹</t>
  </si>
  <si>
    <t>朱炎</t>
  </si>
  <si>
    <t>吴樱霞</t>
  </si>
  <si>
    <t>高毓鸿</t>
  </si>
  <si>
    <t>徐鹤轩</t>
  </si>
  <si>
    <t>杨柳</t>
  </si>
  <si>
    <t>王芳</t>
  </si>
  <si>
    <t>卢钰婷</t>
  </si>
  <si>
    <t>陈宇颖</t>
  </si>
  <si>
    <t>李宛桦</t>
  </si>
  <si>
    <t>羊乾丹</t>
  </si>
  <si>
    <t>赵洪</t>
  </si>
  <si>
    <t>莫云丽</t>
  </si>
  <si>
    <t>洪祥琪</t>
  </si>
  <si>
    <t>龙秋霞</t>
  </si>
  <si>
    <t>吴涵奕</t>
  </si>
  <si>
    <t>张梓萱</t>
  </si>
  <si>
    <t>毋兰兰</t>
  </si>
  <si>
    <t>蔡恺利</t>
  </si>
  <si>
    <t>谢莉红</t>
  </si>
  <si>
    <t>覃祝婉</t>
  </si>
  <si>
    <t>潘可可</t>
  </si>
  <si>
    <t>陈晨</t>
  </si>
  <si>
    <t>安古玲</t>
  </si>
  <si>
    <t>陈子倩</t>
  </si>
  <si>
    <t>文国辉</t>
  </si>
  <si>
    <t>龙诗鸿</t>
  </si>
  <si>
    <t>杨亚男</t>
  </si>
  <si>
    <t>李秋</t>
  </si>
  <si>
    <t>张诗林</t>
  </si>
  <si>
    <t>吴茜</t>
  </si>
  <si>
    <t>鄢新宇</t>
  </si>
  <si>
    <t>吴莉</t>
  </si>
  <si>
    <t>陈华</t>
  </si>
  <si>
    <t>郭晓贤</t>
  </si>
  <si>
    <t>冯凡凡</t>
  </si>
  <si>
    <t>晁健鹏</t>
  </si>
  <si>
    <t>付为嘉</t>
  </si>
  <si>
    <t>梁常磊</t>
  </si>
  <si>
    <t>关靓</t>
  </si>
  <si>
    <t>代旭</t>
  </si>
  <si>
    <t>史知昀</t>
  </si>
  <si>
    <t>施楠</t>
  </si>
  <si>
    <t>詹生涛</t>
  </si>
  <si>
    <t>符淑妹</t>
  </si>
  <si>
    <t>符丽娟</t>
  </si>
  <si>
    <t>王海闻</t>
  </si>
  <si>
    <t>张宝艺</t>
  </si>
  <si>
    <t>刘邓瑶</t>
  </si>
  <si>
    <t>邓云霞</t>
  </si>
  <si>
    <t>金首名</t>
  </si>
  <si>
    <t>向深湘</t>
  </si>
  <si>
    <t>吕伟</t>
  </si>
  <si>
    <t>夏伉丽</t>
  </si>
  <si>
    <t>王啸瑜</t>
  </si>
  <si>
    <t>邢托蓉</t>
  </si>
  <si>
    <t>白皙</t>
  </si>
  <si>
    <t>谢琪</t>
  </si>
  <si>
    <t>谢兴光</t>
  </si>
  <si>
    <t>陈淑怡</t>
  </si>
  <si>
    <t>林方振</t>
  </si>
  <si>
    <t>甘雨</t>
  </si>
  <si>
    <t>翁一丹</t>
  </si>
  <si>
    <t>罗嘉晶</t>
  </si>
  <si>
    <t>岑选琦</t>
  </si>
  <si>
    <t>王海情</t>
  </si>
  <si>
    <t>林凤姣</t>
  </si>
  <si>
    <t>牛丽逢</t>
  </si>
  <si>
    <t>陈雪娥</t>
  </si>
  <si>
    <t>张若舟</t>
  </si>
  <si>
    <t>叶芳怡</t>
  </si>
  <si>
    <t>刘珏</t>
  </si>
  <si>
    <t>崔可婧</t>
  </si>
  <si>
    <t>罗植桂</t>
  </si>
  <si>
    <t>麦景娇</t>
  </si>
  <si>
    <t>王书慧</t>
  </si>
  <si>
    <t>王子童</t>
  </si>
  <si>
    <t>符耿瑜</t>
  </si>
  <si>
    <t>张海妮</t>
  </si>
  <si>
    <t xml:space="preserve"> 邱宇</t>
  </si>
  <si>
    <t>赵翠红</t>
  </si>
  <si>
    <t>丁鑫</t>
  </si>
  <si>
    <t>吴青耘</t>
  </si>
  <si>
    <t>梁燕青</t>
  </si>
  <si>
    <t>周梦君</t>
  </si>
  <si>
    <t>黄斌</t>
  </si>
  <si>
    <t>吴华烨</t>
  </si>
  <si>
    <t>陈敏高</t>
  </si>
  <si>
    <t>李怡菲</t>
  </si>
  <si>
    <t>林旭</t>
  </si>
  <si>
    <t>蒋雨恬</t>
  </si>
  <si>
    <t>孙铖</t>
  </si>
  <si>
    <t>王丁卉</t>
  </si>
  <si>
    <t>赵屹婷</t>
  </si>
  <si>
    <t>林丽妃</t>
  </si>
  <si>
    <t>苏丹</t>
  </si>
  <si>
    <t>陈雨嘉</t>
  </si>
  <si>
    <t>张敏</t>
  </si>
  <si>
    <t>邢婷婷</t>
  </si>
  <si>
    <t>李慧珍</t>
  </si>
  <si>
    <t>方箫</t>
  </si>
  <si>
    <t>李羿成</t>
  </si>
  <si>
    <t>吴岳坤</t>
  </si>
  <si>
    <t>徐巧</t>
  </si>
  <si>
    <t>徐少卿</t>
  </si>
  <si>
    <t>金如雅</t>
  </si>
  <si>
    <t>王莹</t>
  </si>
  <si>
    <t>陈滢萍</t>
  </si>
  <si>
    <t>卢燕妃</t>
  </si>
  <si>
    <t>黎如隆</t>
  </si>
  <si>
    <t>韩梦妮</t>
  </si>
  <si>
    <t>蔡慧</t>
  </si>
  <si>
    <t>佘立媛</t>
  </si>
  <si>
    <t>魏蒙</t>
  </si>
  <si>
    <t>房舒闲</t>
  </si>
  <si>
    <t>陈图影</t>
  </si>
  <si>
    <t>薛易湘</t>
  </si>
  <si>
    <t>夏爽</t>
  </si>
  <si>
    <t>廖小红</t>
  </si>
  <si>
    <t>洪诗欣</t>
  </si>
  <si>
    <t>彭诗宇</t>
  </si>
  <si>
    <t>肖曦</t>
  </si>
  <si>
    <t>赵彩妹</t>
  </si>
  <si>
    <t>曾曼曼</t>
  </si>
  <si>
    <t>梁雪</t>
  </si>
  <si>
    <t>洪思思</t>
  </si>
  <si>
    <t>邹怡帆</t>
  </si>
  <si>
    <t>刘超</t>
  </si>
  <si>
    <t>王孟冬</t>
  </si>
  <si>
    <t>王安杰</t>
  </si>
  <si>
    <t>张洮睿</t>
  </si>
  <si>
    <t>马欣旸</t>
  </si>
  <si>
    <t>陈思蒙</t>
  </si>
  <si>
    <t>钟嘉珍</t>
  </si>
  <si>
    <t>王诗演</t>
  </si>
  <si>
    <t>刘美怡</t>
  </si>
  <si>
    <t>苏慧</t>
  </si>
  <si>
    <t>李彤</t>
  </si>
  <si>
    <t>薛宇婷</t>
  </si>
  <si>
    <t>谭雨茜</t>
  </si>
  <si>
    <t>王镛</t>
  </si>
  <si>
    <t>冀晓潇</t>
  </si>
  <si>
    <t>母紫含</t>
  </si>
  <si>
    <t>谢仁舜</t>
  </si>
  <si>
    <t>祝婉怡</t>
  </si>
  <si>
    <t>陈佳佳</t>
  </si>
  <si>
    <t>陈顺芬</t>
  </si>
  <si>
    <t>符雪芸</t>
  </si>
  <si>
    <t>刘莹</t>
  </si>
  <si>
    <t>李传杰</t>
  </si>
  <si>
    <t>刘双吉</t>
  </si>
  <si>
    <t>杨桭榽</t>
  </si>
  <si>
    <t>刘子轩</t>
  </si>
  <si>
    <t>吴佳平</t>
  </si>
  <si>
    <t>刘盼</t>
  </si>
  <si>
    <t>鲁姝宏</t>
  </si>
  <si>
    <t>崔琪</t>
  </si>
  <si>
    <t>邵长梅</t>
  </si>
  <si>
    <t>饶雨宣</t>
  </si>
  <si>
    <t>朱丹娜</t>
  </si>
  <si>
    <t>胡婷</t>
  </si>
  <si>
    <t>陈桂贞</t>
  </si>
  <si>
    <t>王文静</t>
  </si>
  <si>
    <t>屈露</t>
  </si>
  <si>
    <t>赵丹</t>
  </si>
  <si>
    <t>符晓菲</t>
  </si>
  <si>
    <t>文超</t>
  </si>
  <si>
    <t>谭喆瑶</t>
  </si>
  <si>
    <t>陈怡欣</t>
  </si>
  <si>
    <t>陈雅丽</t>
  </si>
  <si>
    <t>符先进</t>
  </si>
  <si>
    <t>朱巧娟</t>
  </si>
  <si>
    <t>陈芷晰</t>
  </si>
  <si>
    <t>唐绮</t>
  </si>
  <si>
    <t>陈华诗</t>
  </si>
  <si>
    <t>罗江山</t>
  </si>
  <si>
    <t>乔仪</t>
  </si>
  <si>
    <t>冯金灿</t>
  </si>
  <si>
    <t>李雯雯</t>
  </si>
  <si>
    <t>吕琴琴</t>
  </si>
  <si>
    <t>邹海艳</t>
  </si>
  <si>
    <t>戴琪娜</t>
  </si>
  <si>
    <t>廖晓美</t>
  </si>
  <si>
    <t>欧琼迪</t>
  </si>
  <si>
    <t>张含瑜</t>
  </si>
  <si>
    <t>董千乃</t>
  </si>
  <si>
    <t>陈华怡</t>
  </si>
  <si>
    <t>林芳彤</t>
  </si>
  <si>
    <t>符金来</t>
  </si>
  <si>
    <t>徐宇含</t>
  </si>
  <si>
    <t>符业祯</t>
  </si>
  <si>
    <t>何明佳</t>
  </si>
  <si>
    <t>朱婷婷</t>
  </si>
  <si>
    <t>丁兰冠</t>
  </si>
  <si>
    <t>乔慧蕾</t>
  </si>
  <si>
    <t>丁建文</t>
  </si>
  <si>
    <t>霍冰妍</t>
  </si>
  <si>
    <t>胡羽鑫</t>
  </si>
  <si>
    <t>任瑞利</t>
  </si>
  <si>
    <t>肖诗妍</t>
  </si>
  <si>
    <t>张珊</t>
  </si>
  <si>
    <t>谢茹婷</t>
  </si>
  <si>
    <t>丁睿撷</t>
  </si>
  <si>
    <t>吴玉云</t>
  </si>
  <si>
    <t>董金雨</t>
  </si>
  <si>
    <t>王芷萱</t>
  </si>
  <si>
    <t>洪艳</t>
  </si>
  <si>
    <t>韩旭</t>
  </si>
  <si>
    <t>丁雪</t>
  </si>
  <si>
    <t>侯洁</t>
  </si>
  <si>
    <t>张作婷</t>
  </si>
  <si>
    <t>张月</t>
  </si>
  <si>
    <t>祁天娇</t>
  </si>
  <si>
    <t>何婧雯</t>
  </si>
  <si>
    <t>吴晓曦</t>
  </si>
  <si>
    <t>许中雯</t>
  </si>
  <si>
    <t>黄书琪</t>
  </si>
  <si>
    <t>孙玮鸿</t>
  </si>
  <si>
    <t>吴小蕊</t>
  </si>
  <si>
    <t>王一方</t>
  </si>
  <si>
    <t>刘师印</t>
  </si>
  <si>
    <t>谢宇</t>
  </si>
  <si>
    <t>李宁</t>
  </si>
  <si>
    <t>何丹</t>
  </si>
  <si>
    <t>周思洁</t>
  </si>
  <si>
    <t>胡珊珊</t>
  </si>
  <si>
    <t>赵炎</t>
  </si>
  <si>
    <t>李昱杭</t>
  </si>
  <si>
    <t>胡嘉仪</t>
  </si>
  <si>
    <t>王浪</t>
  </si>
  <si>
    <t>赵晓涵</t>
  </si>
  <si>
    <t>李玉洁</t>
  </si>
  <si>
    <t>刘甜</t>
  </si>
  <si>
    <t>黎海敏</t>
  </si>
  <si>
    <t>吉怡欣</t>
  </si>
  <si>
    <t>廖雪珍</t>
  </si>
  <si>
    <t>余正怡</t>
  </si>
  <si>
    <t>林秀雨</t>
  </si>
  <si>
    <t>李蕾</t>
  </si>
  <si>
    <t>黎敏</t>
  </si>
  <si>
    <t>黄璐</t>
  </si>
  <si>
    <t>王秋君</t>
  </si>
  <si>
    <t>刘姝含</t>
  </si>
  <si>
    <t>王丽玮</t>
  </si>
  <si>
    <t>莫雯雯</t>
  </si>
  <si>
    <t>王福德</t>
  </si>
  <si>
    <t>管德承</t>
  </si>
  <si>
    <t>周子谊</t>
  </si>
  <si>
    <t>王子涵</t>
  </si>
  <si>
    <t>叶绿子</t>
  </si>
  <si>
    <t>魏文慧</t>
  </si>
  <si>
    <t>张越</t>
  </si>
  <si>
    <t>宋玉慧</t>
  </si>
  <si>
    <t>韩成林</t>
  </si>
  <si>
    <t>袁晨曦</t>
  </si>
  <si>
    <t>刘玉茹</t>
  </si>
  <si>
    <t>潘玥彤</t>
  </si>
  <si>
    <t>毕晚萍</t>
  </si>
  <si>
    <t>吴佳珂</t>
  </si>
  <si>
    <t>王秋盈</t>
  </si>
  <si>
    <t>喻斯仪</t>
  </si>
  <si>
    <t>李伊晨</t>
  </si>
  <si>
    <t>刘瑞婷</t>
  </si>
  <si>
    <t>吴健</t>
  </si>
  <si>
    <t>陈泽帅</t>
  </si>
  <si>
    <t>肖睿</t>
  </si>
  <si>
    <t>段燕</t>
  </si>
  <si>
    <t>张颖娟</t>
  </si>
  <si>
    <t>许韧果</t>
  </si>
  <si>
    <t>莫丽萍</t>
  </si>
  <si>
    <t>洪后迪</t>
  </si>
  <si>
    <t>周玉洁</t>
  </si>
  <si>
    <t>陈玥彤</t>
  </si>
  <si>
    <t>马晓洁</t>
  </si>
  <si>
    <t>王锦璐</t>
  </si>
  <si>
    <t>李天虹</t>
  </si>
  <si>
    <t>杨可欣</t>
  </si>
  <si>
    <t>万阳</t>
  </si>
  <si>
    <t>曾招雷</t>
  </si>
  <si>
    <t>汪静</t>
  </si>
  <si>
    <t>王旭婷</t>
  </si>
  <si>
    <t>章宛璐</t>
  </si>
  <si>
    <t>蒲姿帆</t>
  </si>
  <si>
    <t>赵琳</t>
  </si>
  <si>
    <t>王蓉</t>
  </si>
  <si>
    <t>王一朵</t>
  </si>
  <si>
    <t>金碧</t>
  </si>
  <si>
    <t>徐闪</t>
  </si>
  <si>
    <t>卓苗苗</t>
  </si>
  <si>
    <t>张鑫</t>
  </si>
  <si>
    <t>耿瑞懿</t>
  </si>
  <si>
    <t>陈润之</t>
  </si>
  <si>
    <t>黄炜玮</t>
  </si>
  <si>
    <t>程健铭</t>
  </si>
  <si>
    <t>黄施慧</t>
  </si>
  <si>
    <t>王巨林</t>
  </si>
  <si>
    <t>王倩茹</t>
  </si>
  <si>
    <t>孙瑞</t>
  </si>
  <si>
    <t>陈多浩</t>
  </si>
  <si>
    <t>莫清霞</t>
  </si>
  <si>
    <t>陈凤娟</t>
  </si>
  <si>
    <t>贾依萌</t>
  </si>
  <si>
    <t>夏芷欣</t>
  </si>
  <si>
    <t>潘婷</t>
  </si>
  <si>
    <t>马懿</t>
  </si>
  <si>
    <t>田宇宁</t>
  </si>
  <si>
    <t>高雅蕾</t>
  </si>
  <si>
    <t>黄恩萍</t>
  </si>
  <si>
    <t>冯业婕</t>
  </si>
  <si>
    <t>林莹萍</t>
  </si>
  <si>
    <t>罗嘉玲</t>
  </si>
  <si>
    <t>祝洋</t>
  </si>
  <si>
    <t>王玺任</t>
  </si>
  <si>
    <t>胡皓天</t>
  </si>
  <si>
    <t>刘广岛</t>
  </si>
  <si>
    <t>翟睿</t>
  </si>
  <si>
    <t>翟琳婧</t>
  </si>
  <si>
    <t>蔡汝强</t>
  </si>
  <si>
    <t>吴思颖</t>
  </si>
  <si>
    <t>张煦琨</t>
  </si>
  <si>
    <t>郭宇琳</t>
  </si>
  <si>
    <t>邢景睿</t>
  </si>
  <si>
    <t>赖文倩</t>
  </si>
  <si>
    <t>梁羽沁</t>
  </si>
  <si>
    <t>胡金珂</t>
  </si>
  <si>
    <t>陈玉敏</t>
  </si>
  <si>
    <t>麦雅婵</t>
  </si>
  <si>
    <t>李桃香</t>
  </si>
  <si>
    <t>乔振男</t>
  </si>
  <si>
    <t>禤彦伶</t>
  </si>
  <si>
    <t>张铸</t>
  </si>
  <si>
    <t>付姝雯</t>
  </si>
  <si>
    <t>李妍</t>
  </si>
  <si>
    <t>谭雅月</t>
  </si>
  <si>
    <t>许思茹</t>
  </si>
  <si>
    <t>周岁广</t>
  </si>
  <si>
    <t>董雅娇</t>
  </si>
  <si>
    <t>蒋祥发</t>
  </si>
  <si>
    <t>朱德熙</t>
  </si>
  <si>
    <t>严旖希</t>
  </si>
  <si>
    <t>黄甘萍</t>
  </si>
  <si>
    <t>郭少柔</t>
  </si>
  <si>
    <t>翁小茜</t>
  </si>
  <si>
    <t>姜鑫</t>
  </si>
  <si>
    <t>陈泽珠</t>
  </si>
  <si>
    <t>戴燕</t>
  </si>
  <si>
    <t>王子怡</t>
  </si>
  <si>
    <t>赵晓枝</t>
  </si>
  <si>
    <t>朱漫宁</t>
  </si>
  <si>
    <t>郝益圆</t>
  </si>
  <si>
    <t>彭希</t>
  </si>
  <si>
    <t>臧懿</t>
  </si>
  <si>
    <t>林慧文</t>
  </si>
  <si>
    <t>许惠婷</t>
  </si>
  <si>
    <t>廖梓桦</t>
  </si>
  <si>
    <t>陈雯雯</t>
  </si>
  <si>
    <t>邱小雪</t>
  </si>
  <si>
    <t>郑颜鑫</t>
  </si>
  <si>
    <t>苏梦莹</t>
  </si>
  <si>
    <t>赵常飞</t>
  </si>
  <si>
    <t>吴乙平</t>
  </si>
  <si>
    <t>黄宇婷</t>
  </si>
  <si>
    <t>朱文宝</t>
  </si>
  <si>
    <t>朱立臣</t>
  </si>
  <si>
    <t>何林玉</t>
  </si>
  <si>
    <t>曾金俊</t>
  </si>
  <si>
    <t>潘文茹</t>
  </si>
  <si>
    <t>黄晓欣</t>
  </si>
  <si>
    <t>骆紫娴</t>
  </si>
  <si>
    <t>王妙英</t>
  </si>
  <si>
    <t>刘谦一</t>
  </si>
  <si>
    <t>105</t>
  </si>
  <si>
    <t>小学数学1</t>
  </si>
  <si>
    <t>李鸿佳</t>
  </si>
  <si>
    <t>周兴强</t>
  </si>
  <si>
    <t>莫俊静</t>
  </si>
  <si>
    <t>黄诗艺</t>
  </si>
  <si>
    <t>刘标</t>
  </si>
  <si>
    <t>吴晓君</t>
  </si>
  <si>
    <t>张宏宇</t>
  </si>
  <si>
    <t>文常瑾</t>
  </si>
  <si>
    <t>亢雪倩</t>
  </si>
  <si>
    <t>符瑗榕</t>
  </si>
  <si>
    <t>林秋兰</t>
  </si>
  <si>
    <t>陈明妹</t>
  </si>
  <si>
    <t>曾婷</t>
  </si>
  <si>
    <t>陈琳</t>
  </si>
  <si>
    <t>李京玄</t>
  </si>
  <si>
    <t>陈美菊</t>
  </si>
  <si>
    <t>朱雨欣</t>
  </si>
  <si>
    <t>陈天香</t>
  </si>
  <si>
    <t>蔡芳妹</t>
  </si>
  <si>
    <t>何柳晔</t>
  </si>
  <si>
    <t xml:space="preserve"> 王璐</t>
  </si>
  <si>
    <t>吴艳娴</t>
  </si>
  <si>
    <t>王海莲</t>
  </si>
  <si>
    <t>陈娜</t>
  </si>
  <si>
    <t>李晓金</t>
  </si>
  <si>
    <t>陈辉毅</t>
  </si>
  <si>
    <t>杨妮娜</t>
  </si>
  <si>
    <t>罗杨</t>
  </si>
  <si>
    <t>王芸琳</t>
  </si>
  <si>
    <t>王萍萍</t>
  </si>
  <si>
    <t>高铭</t>
  </si>
  <si>
    <t>袁乙方</t>
  </si>
  <si>
    <t>周蕾蕾</t>
  </si>
  <si>
    <t>曾君慧</t>
  </si>
  <si>
    <t>陈香杏</t>
  </si>
  <si>
    <t>符白利</t>
  </si>
  <si>
    <t>张笛</t>
  </si>
  <si>
    <t>陈朝</t>
  </si>
  <si>
    <t>邢贞珍</t>
  </si>
  <si>
    <t>刘兰兰</t>
  </si>
  <si>
    <t>黄惠</t>
  </si>
  <si>
    <t>李礼彦</t>
  </si>
  <si>
    <t>林惠章</t>
  </si>
  <si>
    <t>马瑞</t>
  </si>
  <si>
    <t>孙诗梦</t>
  </si>
  <si>
    <t>吴文可</t>
  </si>
  <si>
    <t>冯九千</t>
  </si>
  <si>
    <t>陈海霞</t>
  </si>
  <si>
    <t>王丹丹</t>
  </si>
  <si>
    <t>李晶</t>
  </si>
  <si>
    <t>张淑芳</t>
  </si>
  <si>
    <t>吴丽珍</t>
  </si>
  <si>
    <t>郭教雪</t>
  </si>
  <si>
    <t>黄秋桦</t>
  </si>
  <si>
    <t>李应才</t>
  </si>
  <si>
    <t>王可欣</t>
  </si>
  <si>
    <t>黄金菊</t>
  </si>
  <si>
    <t>邓论鸿</t>
  </si>
  <si>
    <t xml:space="preserve"> 陶莉</t>
  </si>
  <si>
    <t>翟涧</t>
  </si>
  <si>
    <t>邢文靓</t>
  </si>
  <si>
    <t>陈玫谕</t>
  </si>
  <si>
    <t>韦少南</t>
  </si>
  <si>
    <t>罗族燕</t>
  </si>
  <si>
    <t>李儒惠</t>
  </si>
  <si>
    <t>张津瑶</t>
  </si>
  <si>
    <t>吴家庆</t>
  </si>
  <si>
    <t>许夏昱</t>
  </si>
  <si>
    <t>林春娃</t>
  </si>
  <si>
    <t>吴凤璇</t>
  </si>
  <si>
    <t>豆豆</t>
  </si>
  <si>
    <t>陈巧花</t>
  </si>
  <si>
    <t>张金玲</t>
  </si>
  <si>
    <t>张烨蓝</t>
  </si>
  <si>
    <t>刘静墨</t>
  </si>
  <si>
    <t>邢春曼</t>
  </si>
  <si>
    <t>曾莹</t>
  </si>
  <si>
    <t>黄威威</t>
  </si>
  <si>
    <t>刘丽秋</t>
  </si>
  <si>
    <t>叶咪咪</t>
  </si>
  <si>
    <t>李慕君</t>
  </si>
  <si>
    <t>邓萍</t>
  </si>
  <si>
    <t>郑义烨</t>
  </si>
  <si>
    <t>卢玉秋</t>
  </si>
  <si>
    <t>张心如</t>
  </si>
  <si>
    <t>王蕊</t>
  </si>
  <si>
    <t>邢青青</t>
  </si>
  <si>
    <t>石翠文</t>
  </si>
  <si>
    <t>张玉铃</t>
  </si>
  <si>
    <t>赵飞</t>
  </si>
  <si>
    <t>陈秋和</t>
  </si>
  <si>
    <t>林明娜</t>
  </si>
  <si>
    <t>魏晨伊</t>
  </si>
  <si>
    <t>李植文</t>
  </si>
  <si>
    <t>施丽梅</t>
  </si>
  <si>
    <t>薛媛媛</t>
  </si>
  <si>
    <t>张献尹</t>
  </si>
  <si>
    <t>胡恺睿</t>
  </si>
  <si>
    <t>胡帅颖</t>
  </si>
  <si>
    <t>谢琼妹</t>
  </si>
  <si>
    <t>贾诗睿</t>
  </si>
  <si>
    <t>岳翻翻</t>
  </si>
  <si>
    <t>李超</t>
  </si>
  <si>
    <t>赵津源</t>
  </si>
  <si>
    <t>谢松良</t>
  </si>
  <si>
    <t>班骞</t>
  </si>
  <si>
    <t>徐世烽</t>
  </si>
  <si>
    <t>姜贝</t>
  </si>
  <si>
    <t>梁如意</t>
  </si>
  <si>
    <t>陈小婷</t>
  </si>
  <si>
    <t>陈莹倩</t>
  </si>
  <si>
    <t>吴佳莹</t>
  </si>
  <si>
    <t>王乙雅</t>
  </si>
  <si>
    <t>卢运臣</t>
  </si>
  <si>
    <t>谢娇艳</t>
  </si>
  <si>
    <t>冯希</t>
  </si>
  <si>
    <t>王日彩</t>
  </si>
  <si>
    <t>翁生艳</t>
  </si>
  <si>
    <t>邢明美</t>
  </si>
  <si>
    <t>蔡淑妃</t>
  </si>
  <si>
    <t>唐倩晓</t>
  </si>
  <si>
    <t>王喜梅</t>
  </si>
  <si>
    <t>吴倩雯</t>
  </si>
  <si>
    <t>李小儒</t>
  </si>
  <si>
    <t>陈莹</t>
  </si>
  <si>
    <t>何云冰</t>
  </si>
  <si>
    <t>王燕清</t>
  </si>
  <si>
    <t>兰丽</t>
  </si>
  <si>
    <t>谭柳怡</t>
  </si>
  <si>
    <t>王正照</t>
  </si>
  <si>
    <t>盛萌</t>
  </si>
  <si>
    <t>王淑莹</t>
  </si>
  <si>
    <t>罗其韦</t>
  </si>
  <si>
    <t>周家爽</t>
  </si>
  <si>
    <t>陈贤禄</t>
  </si>
  <si>
    <t>盘天娜</t>
  </si>
  <si>
    <t>符月桂</t>
  </si>
  <si>
    <t>黎春敏</t>
  </si>
  <si>
    <t>吴英敏</t>
  </si>
  <si>
    <t>姚静玮</t>
  </si>
  <si>
    <t>黄雪菲</t>
  </si>
  <si>
    <t>陈怡予</t>
  </si>
  <si>
    <t>黄菲婷</t>
  </si>
  <si>
    <t>黄家惠</t>
  </si>
  <si>
    <t>杨静</t>
  </si>
  <si>
    <t>李琳阳</t>
  </si>
  <si>
    <t>占小文</t>
  </si>
  <si>
    <t>韩春雨</t>
  </si>
  <si>
    <t>张仲武</t>
  </si>
  <si>
    <t>苏欣</t>
  </si>
  <si>
    <t>张晶晶</t>
  </si>
  <si>
    <t>王小妹</t>
  </si>
  <si>
    <t>王彩玉</t>
  </si>
  <si>
    <t>邢淑娟</t>
  </si>
  <si>
    <t>郑盈盈</t>
  </si>
  <si>
    <t>吕小燕</t>
  </si>
  <si>
    <t>赵利秋</t>
  </si>
  <si>
    <t>吴小威</t>
  </si>
  <si>
    <t>蔡艳艳</t>
  </si>
  <si>
    <t>吴开琳</t>
  </si>
  <si>
    <t>方寅</t>
  </si>
  <si>
    <t>林欣欣</t>
  </si>
  <si>
    <t>邵丽</t>
  </si>
  <si>
    <t>黎晓羚</t>
  </si>
  <si>
    <t>王秀颖</t>
  </si>
  <si>
    <t>曾静</t>
  </si>
  <si>
    <t>陈奕妙</t>
  </si>
  <si>
    <t>杨绍慧</t>
  </si>
  <si>
    <t>梁小南</t>
  </si>
  <si>
    <t>吕金洋</t>
  </si>
  <si>
    <t>罗丛青</t>
  </si>
  <si>
    <t>欧阳星宇</t>
  </si>
  <si>
    <t>王小翠</t>
  </si>
  <si>
    <t>张成艳</t>
  </si>
  <si>
    <t>岑小莉</t>
  </si>
  <si>
    <t>吴金惠</t>
  </si>
  <si>
    <t>王诗怡</t>
  </si>
  <si>
    <t>陈善佳</t>
  </si>
  <si>
    <t>朱思</t>
  </si>
  <si>
    <t>符国晶</t>
  </si>
  <si>
    <t>许菁君</t>
  </si>
  <si>
    <t>陈雨倩</t>
  </si>
  <si>
    <t>王卫娜</t>
  </si>
  <si>
    <t>林巧艳</t>
  </si>
  <si>
    <t>邱秋敏</t>
  </si>
  <si>
    <t>洪川</t>
  </si>
  <si>
    <t>曾庆莲</t>
  </si>
  <si>
    <t>王思源</t>
  </si>
  <si>
    <t>韩春蝶</t>
  </si>
  <si>
    <t>张继香</t>
  </si>
  <si>
    <t>邱媛</t>
  </si>
  <si>
    <t>苏祥娜</t>
  </si>
  <si>
    <t>杨生曼</t>
  </si>
  <si>
    <t>周芳梅</t>
  </si>
  <si>
    <t>钟秋梅</t>
  </si>
  <si>
    <t>冼恩嫚</t>
  </si>
  <si>
    <t>洪健</t>
  </si>
  <si>
    <t>林薇</t>
  </si>
  <si>
    <t>王梦桥</t>
  </si>
  <si>
    <t>王秀容</t>
  </si>
  <si>
    <t>孙有干</t>
  </si>
  <si>
    <t>周婷婷</t>
  </si>
  <si>
    <t>王丹苗</t>
  </si>
  <si>
    <t>洪琳婷</t>
  </si>
  <si>
    <t>谢焮焮</t>
  </si>
  <si>
    <t>许林梦</t>
  </si>
  <si>
    <t>廖思思</t>
  </si>
  <si>
    <t>黄秋英</t>
  </si>
  <si>
    <t>王家欢</t>
  </si>
  <si>
    <t>云小文</t>
  </si>
  <si>
    <t>王海姑</t>
  </si>
  <si>
    <t>符小凤</t>
  </si>
  <si>
    <t>文如丹</t>
  </si>
  <si>
    <t>王海萍</t>
  </si>
  <si>
    <t>秦凰萍</t>
  </si>
  <si>
    <t>高学寒</t>
  </si>
  <si>
    <t>孙巧娟</t>
  </si>
  <si>
    <t>吴祝金</t>
  </si>
  <si>
    <t>洪冬玲</t>
  </si>
  <si>
    <t>彭佳俊</t>
  </si>
  <si>
    <t>洪真荣</t>
  </si>
  <si>
    <t>陈玉梅</t>
  </si>
  <si>
    <t>曾惠芬</t>
  </si>
  <si>
    <t>王茜</t>
  </si>
  <si>
    <t>黎玉娘</t>
  </si>
  <si>
    <t>刘妹</t>
  </si>
  <si>
    <t>麦玉娜</t>
  </si>
  <si>
    <t>唐艺芸</t>
  </si>
  <si>
    <t>韩琦淇</t>
  </si>
  <si>
    <t>陈春会</t>
  </si>
  <si>
    <t>冯小玲</t>
  </si>
  <si>
    <t>罗亲芸</t>
  </si>
  <si>
    <t>莫金月</t>
  </si>
  <si>
    <t>王凡</t>
  </si>
  <si>
    <t>吴雅琪</t>
  </si>
  <si>
    <t>韦倩</t>
  </si>
  <si>
    <t>陈茹</t>
  </si>
  <si>
    <t>王阳</t>
  </si>
  <si>
    <t>李晓静</t>
  </si>
  <si>
    <t>辛敏</t>
  </si>
  <si>
    <t>占达星</t>
  </si>
  <si>
    <t>庞光亮</t>
  </si>
  <si>
    <t>王祚耿</t>
  </si>
  <si>
    <t>张晨晓</t>
  </si>
  <si>
    <t>李英铭</t>
  </si>
  <si>
    <t>云茵茵</t>
  </si>
  <si>
    <t>黄琪</t>
  </si>
  <si>
    <t>劳梦愉</t>
  </si>
  <si>
    <t>钟可宝</t>
  </si>
  <si>
    <t>吴小莉</t>
  </si>
  <si>
    <t>杜少仁</t>
  </si>
  <si>
    <t>王秀娟</t>
  </si>
  <si>
    <t>杨蓝英</t>
  </si>
  <si>
    <t>王政太</t>
  </si>
  <si>
    <t>高雅</t>
  </si>
  <si>
    <t>黄晓雪</t>
  </si>
  <si>
    <t>黄艳</t>
  </si>
  <si>
    <t>孔芙先</t>
  </si>
  <si>
    <t>孙思言</t>
  </si>
  <si>
    <t>李文琦</t>
  </si>
  <si>
    <t>张婉莹</t>
  </si>
  <si>
    <t>赵月莲</t>
  </si>
  <si>
    <t>韩雅熙</t>
  </si>
  <si>
    <t>伍倩</t>
  </si>
  <si>
    <t>李连桂</t>
  </si>
  <si>
    <t>胡肖颜</t>
  </si>
  <si>
    <t>林叶如萍</t>
  </si>
  <si>
    <t>何强</t>
  </si>
  <si>
    <t>陈巧敏</t>
  </si>
  <si>
    <t>邓景元</t>
  </si>
  <si>
    <t>文美炫</t>
  </si>
  <si>
    <t>郭苏慧</t>
  </si>
  <si>
    <t>黎兴香</t>
  </si>
  <si>
    <t>胡雅莉</t>
  </si>
  <si>
    <t>赵梦浪</t>
  </si>
  <si>
    <t>王康</t>
  </si>
  <si>
    <t>黄凯琳</t>
  </si>
  <si>
    <t>吴馈丽</t>
  </si>
  <si>
    <t>杨佳丽</t>
  </si>
  <si>
    <t>周玉清</t>
  </si>
  <si>
    <t>倪芳丽</t>
  </si>
  <si>
    <t>庄莹莹</t>
  </si>
  <si>
    <t>陆小龙</t>
  </si>
  <si>
    <t>刘俊颉</t>
  </si>
  <si>
    <t>夏坤</t>
  </si>
  <si>
    <t>欧淑彬</t>
  </si>
  <si>
    <t>邹素琴</t>
  </si>
  <si>
    <t>李华宁</t>
  </si>
  <si>
    <t>李尉芳</t>
  </si>
  <si>
    <t>邱文成</t>
  </si>
  <si>
    <t>陈冰</t>
  </si>
  <si>
    <t>李文</t>
  </si>
  <si>
    <t>吴梦艳</t>
  </si>
  <si>
    <t>陈妃</t>
  </si>
  <si>
    <t>傅多娇</t>
  </si>
  <si>
    <t>周丹悦</t>
  </si>
  <si>
    <t>沈小雪</t>
  </si>
  <si>
    <t>吴慧妍</t>
  </si>
  <si>
    <t>李志蕊</t>
  </si>
  <si>
    <t>王莹莹</t>
  </si>
  <si>
    <t>陈俊伶</t>
  </si>
  <si>
    <t>张洪铭</t>
  </si>
  <si>
    <t>刘仙玉</t>
  </si>
  <si>
    <t>许国凤</t>
  </si>
  <si>
    <t>叶大喜</t>
  </si>
  <si>
    <t>谭满</t>
  </si>
  <si>
    <t>陈春曼</t>
  </si>
  <si>
    <t>许娇妹</t>
  </si>
  <si>
    <t>张紫梅</t>
  </si>
  <si>
    <t>王良琴</t>
  </si>
  <si>
    <t>冯杰</t>
  </si>
  <si>
    <t>王丽萍</t>
  </si>
  <si>
    <t>谢小珍</t>
  </si>
  <si>
    <t>马素妹</t>
  </si>
  <si>
    <t>陈彰俊</t>
  </si>
  <si>
    <t>李国柳</t>
  </si>
  <si>
    <t>陈霞</t>
  </si>
  <si>
    <t>牛明</t>
  </si>
  <si>
    <t>王静宝</t>
  </si>
  <si>
    <t>文康喆</t>
  </si>
  <si>
    <t>曾敏善</t>
  </si>
  <si>
    <t>宋坤阳</t>
  </si>
  <si>
    <t>陈永恒</t>
  </si>
  <si>
    <t>黎贤英</t>
  </si>
  <si>
    <t>符雪</t>
  </si>
  <si>
    <t>王栋</t>
  </si>
  <si>
    <t>张东莹</t>
  </si>
  <si>
    <t>薛秋花</t>
  </si>
  <si>
    <t>余沁桐</t>
  </si>
  <si>
    <t>吴忠明</t>
  </si>
  <si>
    <t>许静如</t>
  </si>
  <si>
    <t>曾薇</t>
  </si>
  <si>
    <t>王长慧</t>
  </si>
  <si>
    <t>刘红</t>
  </si>
  <si>
    <t>吴丽敏</t>
  </si>
  <si>
    <t>林琼英</t>
  </si>
  <si>
    <t>陈善菁</t>
  </si>
  <si>
    <t>李丽兰</t>
  </si>
  <si>
    <t>沈娉婷</t>
  </si>
  <si>
    <t>符祝绵</t>
  </si>
  <si>
    <t>吴启源</t>
  </si>
  <si>
    <t>陈雪飞</t>
  </si>
  <si>
    <t>连启盛</t>
  </si>
  <si>
    <t>王艺霖</t>
  </si>
  <si>
    <t>符桂秋</t>
  </si>
  <si>
    <t>伍显艺</t>
  </si>
  <si>
    <t>吴福慧</t>
  </si>
  <si>
    <t>蔡春梅</t>
  </si>
  <si>
    <t>王敏</t>
  </si>
  <si>
    <t>张文静</t>
  </si>
  <si>
    <t>韩美</t>
  </si>
  <si>
    <t>李欣</t>
  </si>
  <si>
    <t>薛为长</t>
  </si>
  <si>
    <t>魏佳蓉</t>
  </si>
  <si>
    <t>苏芳慧</t>
  </si>
  <si>
    <t>张洁</t>
  </si>
  <si>
    <t>刘俊泽</t>
  </si>
  <si>
    <t>詹晓瑾</t>
  </si>
  <si>
    <t>陈静</t>
  </si>
  <si>
    <t>林晓晓</t>
  </si>
  <si>
    <t>邓芳林</t>
  </si>
  <si>
    <t>秦梦婷</t>
  </si>
  <si>
    <t>郭倩</t>
  </si>
  <si>
    <t>林礼妙</t>
  </si>
  <si>
    <t>陈亚卉</t>
  </si>
  <si>
    <t>陈琦</t>
  </si>
  <si>
    <t>吴美雅</t>
  </si>
  <si>
    <t>王雪曼</t>
  </si>
  <si>
    <t>王珂</t>
  </si>
  <si>
    <t>曲雅楠</t>
  </si>
  <si>
    <t>许杏荷</t>
  </si>
  <si>
    <t>李梦梅</t>
  </si>
  <si>
    <t>吴储斌</t>
  </si>
  <si>
    <t>吴范仙</t>
  </si>
  <si>
    <t>钟德情</t>
  </si>
  <si>
    <t>王琼</t>
  </si>
  <si>
    <t>陈婷婷</t>
  </si>
  <si>
    <t>庄瑞暖</t>
  </si>
  <si>
    <t>陈贤吉</t>
  </si>
  <si>
    <t>唐着阅</t>
  </si>
  <si>
    <t>邱明煌</t>
  </si>
  <si>
    <t>林嘉琪</t>
  </si>
  <si>
    <t>吴礼航</t>
  </si>
  <si>
    <t>王仁珠</t>
  </si>
  <si>
    <t>孔祥楠</t>
  </si>
  <si>
    <t>牛建敏</t>
  </si>
  <si>
    <t>刘小妹</t>
  </si>
  <si>
    <t>吴曼怡</t>
  </si>
  <si>
    <t>许森煜</t>
  </si>
  <si>
    <t>符译尹</t>
  </si>
  <si>
    <t>冯海滨</t>
  </si>
  <si>
    <t>张佳乐</t>
  </si>
  <si>
    <t>王虹欢</t>
  </si>
  <si>
    <t>邢馨尹</t>
  </si>
  <si>
    <t>张欣昱</t>
  </si>
  <si>
    <t>符龙衣</t>
  </si>
  <si>
    <t>郭佳敏</t>
  </si>
  <si>
    <t>邢儒娟</t>
  </si>
  <si>
    <t>李琼霞</t>
  </si>
  <si>
    <t>陈靖儿</t>
  </si>
  <si>
    <t>麦雯雯</t>
  </si>
  <si>
    <t>肖念</t>
  </si>
  <si>
    <t>孙文琳</t>
  </si>
  <si>
    <t>叶敏峰</t>
  </si>
  <si>
    <t>邹正萍</t>
  </si>
  <si>
    <t>华淑萍</t>
  </si>
  <si>
    <t>吴丹娜</t>
  </si>
  <si>
    <t>黄润鸿</t>
  </si>
  <si>
    <t>胡金蝶</t>
  </si>
  <si>
    <t>周莹</t>
  </si>
  <si>
    <t>林欢欢</t>
  </si>
  <si>
    <t>廖颖</t>
  </si>
  <si>
    <t>黄洁</t>
  </si>
  <si>
    <t>谢海娥</t>
  </si>
  <si>
    <t>郑珺</t>
  </si>
  <si>
    <t>李若盈</t>
  </si>
  <si>
    <t>曾淑淼</t>
  </si>
  <si>
    <t>洪燕</t>
  </si>
  <si>
    <t>邱俊霖</t>
  </si>
  <si>
    <t>王诗蔓</t>
  </si>
  <si>
    <t>王萍</t>
  </si>
  <si>
    <t>赵美娜</t>
  </si>
  <si>
    <t>陈子南</t>
  </si>
  <si>
    <t>吴艳恒</t>
  </si>
  <si>
    <t>黎丽翠</t>
  </si>
  <si>
    <t>王小李</t>
  </si>
  <si>
    <t>颜晓丹</t>
  </si>
  <si>
    <t>王壮妹</t>
  </si>
  <si>
    <t>黄慧</t>
  </si>
  <si>
    <t>李州燕</t>
  </si>
  <si>
    <t>谭莎莎</t>
  </si>
  <si>
    <t>陈玉珠</t>
  </si>
  <si>
    <t>陈嘉丽</t>
  </si>
  <si>
    <t>周玉婉</t>
  </si>
  <si>
    <t>李婉君</t>
  </si>
  <si>
    <t>郑月敏</t>
  </si>
  <si>
    <t>何爱涓</t>
  </si>
  <si>
    <t>李伊果</t>
  </si>
  <si>
    <t>林蔓</t>
  </si>
  <si>
    <t>田鑫</t>
  </si>
  <si>
    <t>王飞</t>
  </si>
  <si>
    <t>候思宇</t>
  </si>
  <si>
    <t>薛丽娜</t>
  </si>
  <si>
    <t>赵证江</t>
  </si>
  <si>
    <t>苏莹</t>
  </si>
  <si>
    <t>蔡彩玲</t>
  </si>
  <si>
    <t>曾天天</t>
  </si>
  <si>
    <t>张贵媛</t>
  </si>
  <si>
    <t>许美姗</t>
  </si>
  <si>
    <t>吴锦云</t>
  </si>
  <si>
    <t>李佳睿</t>
  </si>
  <si>
    <t>董霭芳</t>
  </si>
  <si>
    <t>周楚凡</t>
  </si>
  <si>
    <t>杜晓红</t>
  </si>
  <si>
    <t>黄潘蝶</t>
  </si>
  <si>
    <t>张宇萌</t>
  </si>
  <si>
    <t>朱峻滢</t>
  </si>
  <si>
    <t>黎芮彤</t>
  </si>
  <si>
    <t>王欣怡</t>
  </si>
  <si>
    <t>翁宏富</t>
  </si>
  <si>
    <t>程妹</t>
  </si>
  <si>
    <t>王伟</t>
  </si>
  <si>
    <t>潘孝平</t>
  </si>
  <si>
    <t>陈多香</t>
  </si>
  <si>
    <t>桑杉</t>
  </si>
  <si>
    <t>张欣</t>
  </si>
  <si>
    <t>全洁</t>
  </si>
  <si>
    <t>崔凯</t>
  </si>
  <si>
    <t>赵赞情</t>
  </si>
  <si>
    <t>刘妍</t>
  </si>
  <si>
    <t>赖群星</t>
  </si>
  <si>
    <t>许静诺</t>
  </si>
  <si>
    <t>符燕飞</t>
  </si>
  <si>
    <t>李韵仪</t>
  </si>
  <si>
    <t>陈竹珍</t>
  </si>
  <si>
    <t>梁祖敏</t>
  </si>
  <si>
    <t>云春美</t>
  </si>
  <si>
    <t>吉晶晶</t>
  </si>
  <si>
    <t>邹怡</t>
  </si>
  <si>
    <t>刘涵涵</t>
  </si>
  <si>
    <t>文凤因</t>
  </si>
  <si>
    <t>陈德楼</t>
  </si>
  <si>
    <t>何江民</t>
  </si>
  <si>
    <t>林翠霞</t>
  </si>
  <si>
    <t>李姑</t>
  </si>
  <si>
    <t>苟艺玲</t>
  </si>
  <si>
    <t>丁艳</t>
  </si>
  <si>
    <t>周珊妃</t>
  </si>
  <si>
    <t>王毓秀</t>
  </si>
  <si>
    <t>覃朝玲</t>
  </si>
  <si>
    <t>谢欣怡</t>
  </si>
  <si>
    <t>陈晓倪</t>
  </si>
  <si>
    <t>符英珠</t>
  </si>
  <si>
    <t>陈泌汀</t>
  </si>
  <si>
    <t>苏红霞</t>
  </si>
  <si>
    <t>许小文</t>
  </si>
  <si>
    <t>章明珠</t>
  </si>
  <si>
    <t>詹道宝</t>
  </si>
  <si>
    <t>邢贞琪</t>
  </si>
  <si>
    <t>黄冬富</t>
  </si>
  <si>
    <t>方静茹</t>
  </si>
  <si>
    <t>吕莹莹</t>
  </si>
  <si>
    <t>李秋桦</t>
  </si>
  <si>
    <t>黄丽</t>
  </si>
  <si>
    <t>杜春慧</t>
  </si>
  <si>
    <t>孙铭阳</t>
  </si>
  <si>
    <t>陈德军</t>
  </si>
  <si>
    <t>王花晓</t>
  </si>
  <si>
    <t>黄日春</t>
  </si>
  <si>
    <t>高凤红</t>
  </si>
  <si>
    <t>王冲</t>
  </si>
  <si>
    <t>梁金够</t>
  </si>
  <si>
    <t>钟金妹</t>
  </si>
  <si>
    <t>谢丹女</t>
  </si>
  <si>
    <t>孔海娇</t>
  </si>
  <si>
    <t>邱勋丽</t>
  </si>
  <si>
    <t>王沄</t>
  </si>
  <si>
    <t>彭秋云</t>
  </si>
  <si>
    <t>冯文蔚</t>
  </si>
  <si>
    <t>林云</t>
  </si>
  <si>
    <t>许丰英</t>
  </si>
  <si>
    <t>周辉</t>
  </si>
  <si>
    <t>吴婕灵</t>
  </si>
  <si>
    <t>许娇丽</t>
  </si>
  <si>
    <t>陈仿</t>
  </si>
  <si>
    <t>卓玲玉</t>
  </si>
  <si>
    <t>王冬灵</t>
  </si>
  <si>
    <t>符茵茵</t>
  </si>
  <si>
    <t>翁海花</t>
  </si>
  <si>
    <t>韦筱优</t>
  </si>
  <si>
    <t>李慧雯</t>
  </si>
  <si>
    <t>柯令权</t>
  </si>
  <si>
    <t>林娇艳</t>
  </si>
  <si>
    <t>周海霞</t>
  </si>
  <si>
    <t>林颖</t>
  </si>
  <si>
    <t>陈彩翠</t>
  </si>
  <si>
    <t>谢佳佳</t>
  </si>
  <si>
    <t>陈秀女</t>
  </si>
  <si>
    <t>何月婷</t>
  </si>
  <si>
    <t>周欣欣</t>
  </si>
  <si>
    <t>符启燕</t>
  </si>
  <si>
    <t>王南</t>
  </si>
  <si>
    <t>林则杉</t>
  </si>
  <si>
    <t>文惠</t>
  </si>
  <si>
    <t xml:space="preserve">柯桃汉 </t>
  </si>
  <si>
    <t>孙梦婷</t>
  </si>
  <si>
    <t>崔水珠</t>
  </si>
  <si>
    <t>吕乾珍</t>
  </si>
  <si>
    <t>唐海珊</t>
  </si>
  <si>
    <t>林子琤</t>
  </si>
  <si>
    <t>于亚楠</t>
  </si>
  <si>
    <t>王腾峰</t>
  </si>
  <si>
    <t>符广媛</t>
  </si>
  <si>
    <t>陈婆梅</t>
  </si>
  <si>
    <t>朱文静</t>
  </si>
  <si>
    <t>邹雨梦</t>
  </si>
  <si>
    <t>陈余金</t>
  </si>
  <si>
    <t>吴育箫</t>
  </si>
  <si>
    <t>黄雨婷</t>
  </si>
  <si>
    <t>韩月</t>
  </si>
  <si>
    <t>王曼</t>
  </si>
  <si>
    <t>陈嘉琦</t>
  </si>
  <si>
    <t>张丽莎</t>
  </si>
  <si>
    <t>林玉涵</t>
  </si>
  <si>
    <t>蔡琼慧</t>
  </si>
  <si>
    <t>吴惠玉</t>
  </si>
  <si>
    <t>王小风</t>
  </si>
  <si>
    <t>简俊红</t>
  </si>
  <si>
    <t>郑曼霞</t>
  </si>
  <si>
    <t>吴娇娓</t>
  </si>
  <si>
    <t>李娇木</t>
  </si>
  <si>
    <t>朱莹莹</t>
  </si>
  <si>
    <t>林晓虹</t>
  </si>
  <si>
    <t>陈慧虹</t>
  </si>
  <si>
    <t>林春南</t>
  </si>
  <si>
    <t>吴慰</t>
  </si>
  <si>
    <t>纪欣欣</t>
  </si>
  <si>
    <t>伍玉梅</t>
  </si>
  <si>
    <t>林于雀</t>
  </si>
  <si>
    <t>文丽泽</t>
  </si>
  <si>
    <t>何鸣</t>
  </si>
  <si>
    <t>王卿</t>
  </si>
  <si>
    <t>姚宇杰</t>
  </si>
  <si>
    <t>陈凤芳</t>
  </si>
  <si>
    <t>林绍芃</t>
  </si>
  <si>
    <t>苏向婷</t>
  </si>
  <si>
    <t>文艳娟</t>
  </si>
  <si>
    <t>王晶</t>
  </si>
  <si>
    <t>陈凤旋</t>
  </si>
  <si>
    <t>孙雪慧</t>
  </si>
  <si>
    <t>胡少春</t>
  </si>
  <si>
    <t>张金娜</t>
  </si>
  <si>
    <t>陈姝聪</t>
  </si>
  <si>
    <t>徐媚</t>
  </si>
  <si>
    <t>符嘉颖</t>
  </si>
  <si>
    <t>王吉娇</t>
  </si>
  <si>
    <t>宋慧</t>
  </si>
  <si>
    <t>周水源</t>
  </si>
  <si>
    <t>陈彩云</t>
  </si>
  <si>
    <t>蔡彩霞</t>
  </si>
  <si>
    <t>符暖</t>
  </si>
  <si>
    <t>罗湘湘</t>
  </si>
  <si>
    <t>王春婷</t>
  </si>
  <si>
    <t>梁永丽</t>
  </si>
  <si>
    <t>吴菁</t>
  </si>
  <si>
    <t>杜春燕</t>
  </si>
  <si>
    <t>吴孟丽</t>
  </si>
  <si>
    <t>潘朝叶</t>
  </si>
  <si>
    <t>杨琦</t>
  </si>
  <si>
    <t>颜妹燕</t>
  </si>
  <si>
    <t>王荣</t>
  </si>
  <si>
    <t>梁杨英</t>
  </si>
  <si>
    <t>许亚娆</t>
  </si>
  <si>
    <t>吴雨欣</t>
  </si>
  <si>
    <t>牛伟健</t>
  </si>
  <si>
    <t>谢桂琴</t>
  </si>
  <si>
    <t>郑小琪</t>
  </si>
  <si>
    <t>吴清惠</t>
  </si>
  <si>
    <t>王心莹</t>
  </si>
  <si>
    <t>周碧雪</t>
  </si>
  <si>
    <t>王海燕</t>
  </si>
  <si>
    <t>赵兰倩</t>
  </si>
  <si>
    <t>高慧颖</t>
  </si>
  <si>
    <t>蔡爱芳</t>
  </si>
  <si>
    <t>曾秀燕</t>
  </si>
  <si>
    <t>苏光日</t>
  </si>
  <si>
    <t>潘美荣</t>
  </si>
  <si>
    <t>吉艳享</t>
  </si>
  <si>
    <t>周丽旗</t>
  </si>
  <si>
    <t>陈培桦</t>
  </si>
  <si>
    <t>黄子怡</t>
  </si>
  <si>
    <t>张梅</t>
  </si>
  <si>
    <t>郑旋</t>
  </si>
  <si>
    <t>王彩银</t>
  </si>
  <si>
    <t>符珊婷</t>
  </si>
  <si>
    <t>韩小丹</t>
  </si>
  <si>
    <t>郑晨</t>
  </si>
  <si>
    <t>许绩川</t>
  </si>
  <si>
    <t>孙余</t>
  </si>
  <si>
    <t>吴小红</t>
  </si>
  <si>
    <t>冯朝芳</t>
  </si>
  <si>
    <t>邱名巧</t>
  </si>
  <si>
    <t>李益带</t>
  </si>
  <si>
    <t>吕珊伟</t>
  </si>
  <si>
    <t>谢昊霖</t>
  </si>
  <si>
    <t>胡小莲</t>
  </si>
  <si>
    <t>梁语珈</t>
  </si>
  <si>
    <t>李懋琳</t>
  </si>
  <si>
    <t>符芳华</t>
  </si>
  <si>
    <t>黄赞贻</t>
  </si>
  <si>
    <t>陈孟转</t>
  </si>
  <si>
    <t>许菊</t>
  </si>
  <si>
    <t>张美丹</t>
  </si>
  <si>
    <t>翁琪</t>
  </si>
  <si>
    <t>甘郁灵</t>
  </si>
  <si>
    <t>伍田</t>
  </si>
  <si>
    <t>吴柳</t>
  </si>
  <si>
    <t>李琳</t>
  </si>
  <si>
    <t>梁柳青</t>
  </si>
  <si>
    <t>董先先</t>
  </si>
  <si>
    <t>张妙哉</t>
  </si>
  <si>
    <t>翁尉虹</t>
  </si>
  <si>
    <t>杨彦瑜</t>
  </si>
  <si>
    <t>蔡林英</t>
  </si>
  <si>
    <t>曾敏</t>
  </si>
  <si>
    <t>邱杨杰</t>
  </si>
  <si>
    <t>李惠嫦</t>
  </si>
  <si>
    <t>曾天岸</t>
  </si>
  <si>
    <t>陈师昌</t>
  </si>
  <si>
    <t>许建</t>
  </si>
  <si>
    <t>刘健</t>
  </si>
  <si>
    <t>王晶晶</t>
  </si>
  <si>
    <t>吴小敏</t>
  </si>
  <si>
    <t>黄保转</t>
  </si>
  <si>
    <t>吴思桦</t>
  </si>
  <si>
    <t>陈天妮</t>
  </si>
  <si>
    <t>米鑫雨</t>
  </si>
  <si>
    <t>符昕媛</t>
  </si>
  <si>
    <t>黄秋娥</t>
  </si>
  <si>
    <t>陈妮</t>
  </si>
  <si>
    <t>符小换</t>
  </si>
  <si>
    <t>谢发城</t>
  </si>
  <si>
    <t>黄园园</t>
  </si>
  <si>
    <t>李丽萍</t>
  </si>
  <si>
    <t>钟梨桂</t>
  </si>
  <si>
    <t>符红霞</t>
  </si>
  <si>
    <t>羊成文</t>
  </si>
  <si>
    <t>何丹花</t>
  </si>
  <si>
    <t xml:space="preserve"> 唐海灵</t>
  </si>
  <si>
    <t>李秀媚</t>
  </si>
  <si>
    <t>曹洋溢</t>
  </si>
  <si>
    <t>卢翠娣</t>
  </si>
  <si>
    <t>展舒悦</t>
  </si>
  <si>
    <t>蒙娇</t>
  </si>
  <si>
    <t>吴长福</t>
  </si>
  <si>
    <t>韦咪咪</t>
  </si>
  <si>
    <t>庄桂娃</t>
  </si>
  <si>
    <t>陈宪旺</t>
  </si>
  <si>
    <t>杨井桑</t>
  </si>
  <si>
    <t>符发琼</t>
  </si>
  <si>
    <t>黎可</t>
  </si>
  <si>
    <t>陆凌英</t>
  </si>
  <si>
    <t>莫斯婷</t>
  </si>
  <si>
    <t>李运慧</t>
  </si>
  <si>
    <t>张文青</t>
  </si>
  <si>
    <t>王圣浩</t>
  </si>
  <si>
    <t>陈梦如</t>
  </si>
  <si>
    <t>潘瑾</t>
  </si>
  <si>
    <t>杨玲玲</t>
  </si>
  <si>
    <t>周海鹏</t>
  </si>
  <si>
    <t>马瑞泽</t>
  </si>
  <si>
    <t>王怡</t>
  </si>
  <si>
    <t>冯秋梅</t>
  </si>
  <si>
    <t>吴彩云</t>
  </si>
  <si>
    <t>云强</t>
  </si>
  <si>
    <t>陈益顺</t>
  </si>
  <si>
    <t>张悦</t>
  </si>
  <si>
    <t>曾永秀</t>
  </si>
  <si>
    <t>卢玉辉</t>
  </si>
  <si>
    <t>林金茹</t>
  </si>
  <si>
    <t>王叶娜</t>
  </si>
  <si>
    <t>陈鹏妹</t>
  </si>
  <si>
    <t>张雅斯</t>
  </si>
  <si>
    <t>翁小青</t>
  </si>
  <si>
    <t>董吉芬</t>
  </si>
  <si>
    <t>陈青青</t>
  </si>
  <si>
    <t>张海娜</t>
  </si>
  <si>
    <t>陈定松</t>
  </si>
  <si>
    <t>陈禧盈</t>
  </si>
  <si>
    <t>陈够</t>
  </si>
  <si>
    <t>陈瑾璇</t>
  </si>
  <si>
    <t>李玉岚</t>
  </si>
  <si>
    <t>陈孟紫</t>
  </si>
  <si>
    <t>郭慧芳</t>
  </si>
  <si>
    <t>甘丽婷</t>
  </si>
  <si>
    <t>冯泽敏</t>
  </si>
  <si>
    <t>潘灵</t>
  </si>
  <si>
    <t>许海源</t>
  </si>
  <si>
    <t>羊美转</t>
  </si>
  <si>
    <t>苏小柳</t>
  </si>
  <si>
    <t>吴雪儿</t>
  </si>
  <si>
    <t>何晶萍</t>
  </si>
  <si>
    <t>林琼雯</t>
  </si>
  <si>
    <t>段炳弘</t>
  </si>
  <si>
    <t>陈晖煜</t>
  </si>
  <si>
    <t>吴钟玉</t>
  </si>
  <si>
    <t>殷海妮</t>
  </si>
  <si>
    <t>顾贵荣</t>
  </si>
  <si>
    <t>苏婷影</t>
  </si>
  <si>
    <t>曾慧莹</t>
  </si>
  <si>
    <t>梁会单</t>
  </si>
  <si>
    <t>刘锦</t>
  </si>
  <si>
    <t>罗孙娜</t>
  </si>
  <si>
    <t>吴伟文</t>
  </si>
  <si>
    <t>翁秀娜</t>
  </si>
  <si>
    <t>黎石翠</t>
  </si>
  <si>
    <t>陈兴志</t>
  </si>
  <si>
    <t>林媛媛</t>
  </si>
  <si>
    <t>吴茹</t>
  </si>
  <si>
    <t>洪淑</t>
  </si>
  <si>
    <t>张甲小</t>
  </si>
  <si>
    <t>陈太景</t>
  </si>
  <si>
    <t>袁涌航</t>
  </si>
  <si>
    <t>林天翠</t>
  </si>
  <si>
    <t>叶宏侨</t>
  </si>
  <si>
    <t>符燕燕</t>
  </si>
  <si>
    <t>李正达</t>
  </si>
  <si>
    <t>吴琼丽</t>
  </si>
  <si>
    <t>程琳</t>
  </si>
  <si>
    <t>符造婷</t>
  </si>
  <si>
    <t>李悦恒</t>
  </si>
  <si>
    <t>陈敏珠</t>
  </si>
  <si>
    <t>钟婵</t>
  </si>
  <si>
    <t>尹希悦</t>
  </si>
  <si>
    <t>张玉珠</t>
  </si>
  <si>
    <t>蔡巧月</t>
  </si>
  <si>
    <t>符莹莹</t>
  </si>
  <si>
    <t>陈素妮</t>
  </si>
  <si>
    <t>王柳燕</t>
  </si>
  <si>
    <t>孙霞飞</t>
  </si>
  <si>
    <t>胡洁雯</t>
  </si>
  <si>
    <t>兰荣桂</t>
  </si>
  <si>
    <t>肖文华</t>
  </si>
  <si>
    <t>唐嘉颖</t>
  </si>
  <si>
    <t>符倩倩</t>
  </si>
  <si>
    <t>符莞莹</t>
  </si>
  <si>
    <t>林萍</t>
  </si>
  <si>
    <t>苏冬亮</t>
  </si>
  <si>
    <t>王曼虹</t>
  </si>
  <si>
    <t>刘一平</t>
  </si>
  <si>
    <t>林晓静</t>
  </si>
  <si>
    <t>郑蕊</t>
  </si>
  <si>
    <t>李云妃</t>
  </si>
  <si>
    <t>胡小荟</t>
  </si>
  <si>
    <t>王少玮</t>
  </si>
  <si>
    <t>谢春苗</t>
  </si>
  <si>
    <t>邓惠丹</t>
  </si>
  <si>
    <t>许琼娜</t>
  </si>
  <si>
    <t>陈圣佳</t>
  </si>
  <si>
    <t>柯泓丞</t>
  </si>
  <si>
    <t>吴晓敏</t>
  </si>
  <si>
    <t>陈晓璐</t>
  </si>
  <si>
    <t>吴桃</t>
  </si>
  <si>
    <t>王苏惠</t>
  </si>
  <si>
    <t>谭秋豪</t>
  </si>
  <si>
    <t>王慧珍</t>
  </si>
  <si>
    <t>高唐瑛</t>
  </si>
  <si>
    <t>彭萱逸</t>
  </si>
  <si>
    <t>何汶颖</t>
  </si>
  <si>
    <t>陈怡颖</t>
  </si>
  <si>
    <t>陈芳玉</t>
  </si>
  <si>
    <t>梁佳</t>
  </si>
  <si>
    <t>冯丹丹</t>
  </si>
  <si>
    <t>韦安迪</t>
  </si>
  <si>
    <t>韦冬梅</t>
  </si>
  <si>
    <t>袁晶晶</t>
  </si>
  <si>
    <t>王琪</t>
  </si>
  <si>
    <t>李丹</t>
  </si>
  <si>
    <t>罗国科</t>
  </si>
  <si>
    <t>刘晓瑜</t>
  </si>
  <si>
    <t>吉才鹰</t>
  </si>
  <si>
    <t>杨菲菲</t>
  </si>
  <si>
    <t>张家妹</t>
  </si>
  <si>
    <t>杨朝雪</t>
  </si>
  <si>
    <t>林秋玲</t>
  </si>
  <si>
    <t>林侨仙</t>
  </si>
  <si>
    <t>陈敏纳</t>
  </si>
  <si>
    <t>姜雨彤</t>
  </si>
  <si>
    <t>陈曼</t>
  </si>
  <si>
    <t>陈霏</t>
  </si>
  <si>
    <t>倪海琼</t>
  </si>
  <si>
    <t>李金燕</t>
  </si>
  <si>
    <t>陆海娟</t>
  </si>
  <si>
    <t>高云蕊</t>
  </si>
  <si>
    <t>李彩奥</t>
  </si>
  <si>
    <t>辜柳冰</t>
  </si>
  <si>
    <t>黄小云</t>
  </si>
  <si>
    <t>符晶妹</t>
  </si>
  <si>
    <t>倪德果</t>
  </si>
  <si>
    <t>李小艺</t>
  </si>
  <si>
    <t>张雪</t>
  </si>
  <si>
    <t>林芯如</t>
  </si>
  <si>
    <t>王丽金</t>
  </si>
  <si>
    <t>李妤</t>
  </si>
  <si>
    <t>杜雪琳</t>
  </si>
  <si>
    <t>周莹莹</t>
  </si>
  <si>
    <t>吴秋盈</t>
  </si>
  <si>
    <t>朱秀梅</t>
  </si>
  <si>
    <t>段美交</t>
  </si>
  <si>
    <t>高冬梅</t>
  </si>
  <si>
    <t xml:space="preserve"> 何慧迪</t>
  </si>
  <si>
    <t>黎禧姿</t>
  </si>
  <si>
    <t>李小玲</t>
  </si>
  <si>
    <t>柯海菁</t>
  </si>
  <si>
    <t>黄彩蝶</t>
  </si>
  <si>
    <t>卢小政</t>
  </si>
  <si>
    <t>李伟杰</t>
  </si>
  <si>
    <t>罗贻优</t>
  </si>
  <si>
    <t>吉受玲</t>
  </si>
  <si>
    <t>谢珊珊</t>
  </si>
  <si>
    <t>吴惠</t>
  </si>
  <si>
    <t>邱小芳</t>
  </si>
  <si>
    <t>王淑女</t>
  </si>
  <si>
    <t>何李丽</t>
  </si>
  <si>
    <t>汤小叶</t>
  </si>
  <si>
    <t>王尾英</t>
  </si>
  <si>
    <t>李彬彬</t>
  </si>
  <si>
    <t>王小兰</t>
  </si>
  <si>
    <t>林夏怡</t>
  </si>
  <si>
    <t>李文茹</t>
  </si>
  <si>
    <t>谢元康</t>
  </si>
  <si>
    <t>吴婷婷</t>
  </si>
  <si>
    <t>朱少翆</t>
  </si>
  <si>
    <t>王慧恒</t>
  </si>
  <si>
    <t>黄雯佳</t>
  </si>
  <si>
    <t>韩悦</t>
  </si>
  <si>
    <t>李慧萍</t>
  </si>
  <si>
    <t>陈延岁</t>
  </si>
  <si>
    <t>郭莹莹</t>
  </si>
  <si>
    <t>林雅静</t>
  </si>
  <si>
    <t>张丽</t>
  </si>
  <si>
    <t>黄贝贝</t>
  </si>
  <si>
    <t>林瑜</t>
  </si>
  <si>
    <t>王莉</t>
  </si>
  <si>
    <t>赵秀娇</t>
  </si>
  <si>
    <t>陈保琴</t>
  </si>
  <si>
    <t>赖晓影</t>
  </si>
  <si>
    <t>杨雅婷</t>
  </si>
  <si>
    <t>王春妹</t>
  </si>
  <si>
    <t>朱琦</t>
  </si>
  <si>
    <t>朱深旺</t>
  </si>
  <si>
    <t>梁泰</t>
  </si>
  <si>
    <t>谢玉婷</t>
  </si>
  <si>
    <t>王玉欢</t>
  </si>
  <si>
    <t>刘倩</t>
  </si>
  <si>
    <t>黄晶晶</t>
  </si>
  <si>
    <t>符月琼</t>
  </si>
  <si>
    <t>吴炳坤</t>
  </si>
  <si>
    <t>梁小浪</t>
  </si>
  <si>
    <t>杜艳茹</t>
  </si>
  <si>
    <t>利钰</t>
  </si>
  <si>
    <t>傅力娟</t>
  </si>
  <si>
    <t>罗小星</t>
  </si>
  <si>
    <t>陈茜</t>
  </si>
  <si>
    <t>王思予</t>
  </si>
  <si>
    <t>张祖波</t>
  </si>
  <si>
    <t>吴奇艳</t>
  </si>
  <si>
    <t>周玉龙</t>
  </si>
  <si>
    <t>王丽婷</t>
  </si>
  <si>
    <t>李天祎</t>
  </si>
  <si>
    <t>潘孝萍</t>
  </si>
  <si>
    <t>符华芳</t>
  </si>
  <si>
    <t>王娇</t>
  </si>
  <si>
    <t>杨双玲</t>
  </si>
  <si>
    <t>王宁</t>
  </si>
  <si>
    <t>龙霜霜</t>
  </si>
  <si>
    <t>文苏环</t>
  </si>
  <si>
    <t>林乙</t>
  </si>
  <si>
    <t>莫巨明</t>
  </si>
  <si>
    <t>吴晓燕</t>
  </si>
  <si>
    <t>牛龙妹</t>
  </si>
  <si>
    <t>李玉婷</t>
  </si>
  <si>
    <t>周雷</t>
  </si>
  <si>
    <t>朱敏</t>
  </si>
  <si>
    <t>郑薇</t>
  </si>
  <si>
    <t>吴家和</t>
  </si>
  <si>
    <t>赵阳彩</t>
  </si>
  <si>
    <t>符叶</t>
  </si>
  <si>
    <t>吴国卿</t>
  </si>
  <si>
    <t>王慧琳</t>
  </si>
  <si>
    <t>黄雪冬</t>
  </si>
  <si>
    <t>黄敏</t>
  </si>
  <si>
    <t>李媚</t>
  </si>
  <si>
    <t>廖文鸾</t>
  </si>
  <si>
    <t>杨庆玲</t>
  </si>
  <si>
    <t>高东慧</t>
  </si>
  <si>
    <t>甘玲</t>
  </si>
  <si>
    <t>王冰冰</t>
  </si>
  <si>
    <t>吕丽池</t>
  </si>
  <si>
    <t>钱海琼</t>
  </si>
  <si>
    <t>王雪彤</t>
  </si>
  <si>
    <t>周帆</t>
  </si>
  <si>
    <t>孙乐帅</t>
  </si>
  <si>
    <t>李三梅</t>
  </si>
  <si>
    <t>林海秋</t>
  </si>
  <si>
    <t>曾红</t>
  </si>
  <si>
    <t xml:space="preserve">邹菊 </t>
  </si>
  <si>
    <t>黄蓉花</t>
  </si>
  <si>
    <t>李兰花</t>
  </si>
  <si>
    <t>陈圆</t>
  </si>
  <si>
    <t>陈孟玲</t>
  </si>
  <si>
    <t>符诗琪</t>
  </si>
  <si>
    <t>王玉林</t>
  </si>
  <si>
    <t>张配</t>
  </si>
  <si>
    <t>卢志欢</t>
  </si>
  <si>
    <t>黄晓琪</t>
  </si>
  <si>
    <t>李凤</t>
  </si>
  <si>
    <t>林云羽</t>
  </si>
  <si>
    <t>王茹倩</t>
  </si>
  <si>
    <t>陈朝恋</t>
  </si>
  <si>
    <t>李慧伦</t>
  </si>
  <si>
    <t>林娴舒</t>
  </si>
  <si>
    <t>韩芳</t>
  </si>
  <si>
    <t>苏丽雪</t>
  </si>
  <si>
    <t>吴艳艳</t>
  </si>
  <si>
    <t>樊海虹</t>
  </si>
  <si>
    <t>龙菲菲</t>
  </si>
  <si>
    <t>黎如红</t>
  </si>
  <si>
    <t>吴彩燕</t>
  </si>
  <si>
    <t>刘庆茹</t>
  </si>
  <si>
    <t>陈香倩</t>
  </si>
  <si>
    <t>韩飞</t>
  </si>
  <si>
    <t>符锦霞</t>
  </si>
  <si>
    <t>石萍</t>
  </si>
  <si>
    <t>张汉妹</t>
  </si>
  <si>
    <t>张倩莹</t>
  </si>
  <si>
    <t>符海琴</t>
  </si>
  <si>
    <t>崔芸英</t>
  </si>
  <si>
    <t>丁行值</t>
  </si>
  <si>
    <t>汪莹莹</t>
  </si>
  <si>
    <t>李辉丽</t>
  </si>
  <si>
    <t>崔琼文</t>
  </si>
  <si>
    <t>符婷</t>
  </si>
  <si>
    <t>邢彩芳</t>
  </si>
  <si>
    <t>陈帆</t>
  </si>
  <si>
    <t>吴钟丹</t>
  </si>
  <si>
    <t>苏醒</t>
  </si>
  <si>
    <t>麦昌妹</t>
  </si>
  <si>
    <t>王润叶</t>
  </si>
  <si>
    <t>李其珊</t>
  </si>
  <si>
    <t>梁尧</t>
  </si>
  <si>
    <t>林江转</t>
  </si>
  <si>
    <t>羊丽江</t>
  </si>
  <si>
    <t>王妙</t>
  </si>
  <si>
    <t>韩佳琦</t>
  </si>
  <si>
    <t>张少琼</t>
  </si>
  <si>
    <t>张超</t>
  </si>
  <si>
    <t>王小映</t>
  </si>
  <si>
    <t>黄平玲</t>
  </si>
  <si>
    <t>吴惠转</t>
  </si>
  <si>
    <t>麦晓苑</t>
  </si>
  <si>
    <t>毛晓丹</t>
  </si>
  <si>
    <t>胡莉芬</t>
  </si>
  <si>
    <t>杨敏</t>
  </si>
  <si>
    <t>黄余瑞</t>
  </si>
  <si>
    <t>张运奋</t>
  </si>
  <si>
    <t>林小莉</t>
  </si>
  <si>
    <t>赵艳辉</t>
  </si>
  <si>
    <t>陈文慧</t>
  </si>
  <si>
    <t>庞惠方</t>
  </si>
  <si>
    <t>郑永玲</t>
  </si>
  <si>
    <t>王丽</t>
  </si>
  <si>
    <t>荣彤彤</t>
  </si>
  <si>
    <t>韩海云</t>
  </si>
  <si>
    <t>夏啸珍</t>
  </si>
  <si>
    <t>郑朵朵</t>
  </si>
  <si>
    <t>欧金丹</t>
  </si>
  <si>
    <t>林佳铮</t>
  </si>
  <si>
    <t>符进平</t>
  </si>
  <si>
    <t>陈肖婷</t>
  </si>
  <si>
    <t>黄雨秋</t>
  </si>
  <si>
    <t>王夕文</t>
  </si>
  <si>
    <t>陈佳芯</t>
  </si>
  <si>
    <t>崔盈盈</t>
  </si>
  <si>
    <t>王浩源</t>
  </si>
  <si>
    <t>李妮蔓</t>
  </si>
  <si>
    <t>梁二苑</t>
  </si>
  <si>
    <t>王玲</t>
  </si>
  <si>
    <t>赵小倩</t>
  </si>
  <si>
    <t>陈春玉</t>
  </si>
  <si>
    <t>符志茹</t>
  </si>
  <si>
    <t>陈丽娜</t>
  </si>
  <si>
    <t>陈杏</t>
  </si>
  <si>
    <t>陈慧欣</t>
  </si>
  <si>
    <t>王丹萍</t>
  </si>
  <si>
    <t>陈文静</t>
  </si>
  <si>
    <t>傅圆圆</t>
  </si>
  <si>
    <t>陈心谊</t>
  </si>
  <si>
    <t>叶锐</t>
  </si>
  <si>
    <t>赵廷英</t>
  </si>
  <si>
    <t>吴小娟</t>
  </si>
  <si>
    <t>蔡定旧</t>
  </si>
  <si>
    <t>唐颖娇</t>
  </si>
  <si>
    <t>冯艳青</t>
  </si>
  <si>
    <t>莫蕊</t>
  </si>
  <si>
    <t>陈慧萍</t>
  </si>
  <si>
    <t>李顺枝</t>
  </si>
  <si>
    <t>陈学彬</t>
  </si>
  <si>
    <t>蓝月香</t>
  </si>
  <si>
    <t>张桠岚</t>
  </si>
  <si>
    <t>符展爱</t>
  </si>
  <si>
    <t>李想</t>
  </si>
  <si>
    <t>符洁颖</t>
  </si>
  <si>
    <t>郭秀霞</t>
  </si>
  <si>
    <t>普金萍</t>
  </si>
  <si>
    <t>黄会艳</t>
  </si>
  <si>
    <t>黄灵锐</t>
  </si>
  <si>
    <t>黄莉芬</t>
  </si>
  <si>
    <t>符海虹</t>
  </si>
  <si>
    <t>何子智</t>
  </si>
  <si>
    <t>陈长妹</t>
  </si>
  <si>
    <t>王淇</t>
  </si>
  <si>
    <t>麦丽翠</t>
  </si>
  <si>
    <t>吴世雍</t>
  </si>
  <si>
    <t>梁日带</t>
  </si>
  <si>
    <t>李银铃</t>
  </si>
  <si>
    <t>陈丽璧</t>
  </si>
  <si>
    <t>胡倩倩</t>
  </si>
  <si>
    <t>麻晶晶</t>
  </si>
  <si>
    <t>林嫚</t>
  </si>
  <si>
    <t>黄小琼</t>
  </si>
  <si>
    <t>吴家园</t>
  </si>
  <si>
    <t>何民丹</t>
  </si>
  <si>
    <t>钟育江</t>
  </si>
  <si>
    <t>周林邦</t>
  </si>
  <si>
    <t>蓝志华</t>
  </si>
  <si>
    <t>周吉香</t>
  </si>
  <si>
    <t>于清华</t>
  </si>
  <si>
    <t>刘尚阳</t>
  </si>
  <si>
    <t>陈初园</t>
  </si>
  <si>
    <t>董锐</t>
  </si>
  <si>
    <t>方子菁</t>
  </si>
  <si>
    <t>史良换</t>
  </si>
  <si>
    <t>冯贝贝</t>
  </si>
  <si>
    <t>梁金玉</t>
  </si>
  <si>
    <t>饶方娜</t>
  </si>
  <si>
    <t>钟柱玲</t>
  </si>
  <si>
    <t>黎玲</t>
  </si>
  <si>
    <t>陈小短</t>
  </si>
  <si>
    <t>许裕敏</t>
  </si>
  <si>
    <t>林娜</t>
  </si>
  <si>
    <t>符丽芳</t>
  </si>
  <si>
    <t>符潇丹</t>
  </si>
  <si>
    <t>梁为妍</t>
  </si>
  <si>
    <t>黄团团</t>
  </si>
  <si>
    <t>吴杰</t>
  </si>
  <si>
    <t>万英姿</t>
  </si>
  <si>
    <t>蔡彩金</t>
  </si>
  <si>
    <t>周冰</t>
  </si>
  <si>
    <t>刘婷</t>
  </si>
  <si>
    <t>郑浪帅</t>
  </si>
  <si>
    <t>曾祥玮</t>
  </si>
  <si>
    <t>邢金玉</t>
  </si>
  <si>
    <t>吴珍珍</t>
  </si>
  <si>
    <t>林海燕</t>
  </si>
  <si>
    <t>陈保春</t>
  </si>
  <si>
    <t>李云飞</t>
  </si>
  <si>
    <t>李晓晴</t>
  </si>
  <si>
    <t>潘万娇</t>
  </si>
  <si>
    <t>王晓娟</t>
  </si>
  <si>
    <t>羊秀熊</t>
  </si>
  <si>
    <t>蒙海艳</t>
  </si>
  <si>
    <t>林佳慧</t>
  </si>
  <si>
    <t>符修联</t>
  </si>
  <si>
    <t>符秀玲</t>
  </si>
  <si>
    <t>郭孟娟</t>
  </si>
  <si>
    <t>刘燕女</t>
  </si>
  <si>
    <t>吴思卓</t>
  </si>
  <si>
    <t>符伟</t>
  </si>
  <si>
    <t>梁梦云</t>
  </si>
  <si>
    <t>周夏妃</t>
  </si>
  <si>
    <t>罗沙</t>
  </si>
  <si>
    <t>刘丹</t>
  </si>
  <si>
    <t>吴金玉</t>
  </si>
  <si>
    <t>杜妙龄</t>
  </si>
  <si>
    <t>王慧娴</t>
  </si>
  <si>
    <t>王曼珍</t>
  </si>
  <si>
    <t>王家毫</t>
  </si>
  <si>
    <t>黄海玉</t>
  </si>
  <si>
    <t>符海选</t>
  </si>
  <si>
    <t>黄晓庆</t>
  </si>
  <si>
    <t>周倩</t>
  </si>
  <si>
    <t>蒙燕倩</t>
  </si>
  <si>
    <t>蔡玉灵</t>
  </si>
  <si>
    <t>陈梦云</t>
  </si>
  <si>
    <t>严莹珍</t>
  </si>
  <si>
    <t>何丽花</t>
  </si>
  <si>
    <t>李丽</t>
  </si>
  <si>
    <t>苏淑芳</t>
  </si>
  <si>
    <t>黄加妹</t>
  </si>
  <si>
    <t>陈羿伊</t>
  </si>
  <si>
    <t>韩馥鲜</t>
  </si>
  <si>
    <t>孙有丹</t>
  </si>
  <si>
    <t>罗倩倩</t>
  </si>
  <si>
    <t>白丽芬</t>
  </si>
  <si>
    <t>陈惠</t>
  </si>
  <si>
    <t>陈琼菲</t>
  </si>
  <si>
    <t>符秋选</t>
  </si>
  <si>
    <t>符婧</t>
  </si>
  <si>
    <t>邓亮妹</t>
  </si>
  <si>
    <t>陈金惠</t>
  </si>
  <si>
    <t>王奇瑶</t>
  </si>
  <si>
    <t>杨龙婷</t>
  </si>
  <si>
    <t>冯毅</t>
  </si>
  <si>
    <t>潘紫乔</t>
  </si>
  <si>
    <t>王华</t>
  </si>
  <si>
    <t>郑柳</t>
  </si>
  <si>
    <t>王锦娴</t>
  </si>
  <si>
    <t>韩紫薇</t>
  </si>
  <si>
    <t>何川喻</t>
  </si>
  <si>
    <t>明思祺</t>
  </si>
  <si>
    <t>羊夏欣</t>
  </si>
  <si>
    <t>吴秀桂</t>
  </si>
  <si>
    <t>林位冰</t>
  </si>
  <si>
    <t>吴莉莉</t>
  </si>
  <si>
    <t>欧鸿源</t>
  </si>
  <si>
    <t>陈碧玉</t>
  </si>
  <si>
    <t>甘永寿</t>
  </si>
  <si>
    <t>王海波</t>
  </si>
  <si>
    <t>陈天安</t>
  </si>
  <si>
    <t>符芳临</t>
  </si>
  <si>
    <t>李嫦姝</t>
  </si>
  <si>
    <t>许瑞丽</t>
  </si>
  <si>
    <t>黄晓</t>
  </si>
  <si>
    <t>魏玉</t>
  </si>
  <si>
    <t>王康强</t>
  </si>
  <si>
    <t>许涵瑜</t>
  </si>
  <si>
    <t>符芳宁</t>
  </si>
  <si>
    <t>苏英芳</t>
  </si>
  <si>
    <t>韩尚男</t>
  </si>
  <si>
    <t>王霜</t>
  </si>
  <si>
    <t>林月倩</t>
  </si>
  <si>
    <t>陈小桂</t>
  </si>
  <si>
    <t>王奕婷</t>
  </si>
  <si>
    <t>符良缝</t>
  </si>
  <si>
    <t>林金凤</t>
  </si>
  <si>
    <t>郭善梅</t>
  </si>
  <si>
    <t>吴昱颖</t>
  </si>
  <si>
    <t>黄海利</t>
  </si>
  <si>
    <t>王新琦</t>
  </si>
  <si>
    <t>陈百惠</t>
  </si>
  <si>
    <t>刘咏</t>
  </si>
  <si>
    <t>黄珠</t>
  </si>
  <si>
    <t>吴为菊</t>
  </si>
  <si>
    <t>邱发爱</t>
  </si>
  <si>
    <t>徐雅雯</t>
  </si>
  <si>
    <t>朱春穗</t>
  </si>
  <si>
    <t>曾珍娜</t>
  </si>
  <si>
    <t>陈贤静</t>
  </si>
  <si>
    <t>郑金华</t>
  </si>
  <si>
    <t>黎观荣</t>
  </si>
  <si>
    <t>符裕珍</t>
  </si>
  <si>
    <t>刘荣玲</t>
  </si>
  <si>
    <t>陈鸿妹</t>
  </si>
  <si>
    <t>况元成</t>
  </si>
  <si>
    <t>曾明月</t>
  </si>
  <si>
    <t>王梦</t>
  </si>
  <si>
    <t>庞彦婷</t>
  </si>
  <si>
    <t>黎仲雨</t>
  </si>
  <si>
    <t>张希</t>
  </si>
  <si>
    <t>梁晓菲</t>
  </si>
  <si>
    <t>王灵洁</t>
  </si>
  <si>
    <t>谭荣榕</t>
  </si>
  <si>
    <t>吴金代</t>
  </si>
  <si>
    <t>杨柔</t>
  </si>
  <si>
    <t>王忠嫣</t>
  </si>
  <si>
    <t>蔺雪</t>
  </si>
  <si>
    <t>张春联</t>
  </si>
  <si>
    <t>许春蝶</t>
  </si>
  <si>
    <t>梁俏雨</t>
  </si>
  <si>
    <t>郭皇妹</t>
  </si>
  <si>
    <t>陈漫柳</t>
  </si>
  <si>
    <t>符华秀</t>
  </si>
  <si>
    <t>吴俊</t>
  </si>
  <si>
    <t>云茹</t>
  </si>
  <si>
    <t>曾晓桂</t>
  </si>
  <si>
    <t>唐钰</t>
  </si>
  <si>
    <t>黎培旭</t>
  </si>
  <si>
    <t>吴晓莹</t>
  </si>
  <si>
    <t>陈丽娃</t>
  </si>
  <si>
    <t>聂高洁</t>
  </si>
  <si>
    <t>陈怡芳</t>
  </si>
  <si>
    <t>郑如云</t>
  </si>
  <si>
    <t>周灵灵</t>
  </si>
  <si>
    <t>杨镇铭</t>
  </si>
  <si>
    <t>吴世</t>
  </si>
  <si>
    <t>邢潇文</t>
  </si>
  <si>
    <t>龙娴</t>
  </si>
  <si>
    <t>李佳齐</t>
  </si>
  <si>
    <t>冯小丽</t>
  </si>
  <si>
    <t>纪英英</t>
  </si>
  <si>
    <t>钟呈慧</t>
  </si>
  <si>
    <t>吴名秋</t>
  </si>
  <si>
    <t>陈文智</t>
  </si>
  <si>
    <t>杜芊</t>
  </si>
  <si>
    <t>陆雪琴</t>
  </si>
  <si>
    <t>刘晓玲</t>
  </si>
  <si>
    <t>黎倩曼</t>
  </si>
  <si>
    <t>王丹菁</t>
  </si>
  <si>
    <t>王露萍</t>
  </si>
  <si>
    <t>赵学秋</t>
  </si>
  <si>
    <t>陈金翠</t>
  </si>
  <si>
    <t>殷艳</t>
  </si>
  <si>
    <t>邓道雄</t>
  </si>
  <si>
    <t>庄娜</t>
  </si>
  <si>
    <t>赵明泽</t>
  </si>
  <si>
    <t>苏鹏</t>
  </si>
  <si>
    <t>李达文</t>
  </si>
  <si>
    <t>洪琼珠</t>
  </si>
  <si>
    <t>林丽婷</t>
  </si>
  <si>
    <t>梁新梅</t>
  </si>
  <si>
    <t>钟瑶</t>
  </si>
  <si>
    <t>李朝阳</t>
  </si>
  <si>
    <t>何珊</t>
  </si>
  <si>
    <t>薛秋丽</t>
  </si>
  <si>
    <t>林仕泉</t>
  </si>
  <si>
    <t>彭丽</t>
  </si>
  <si>
    <t>洪小娟</t>
  </si>
  <si>
    <t>黎丽丹</t>
  </si>
  <si>
    <t>苏李威</t>
  </si>
  <si>
    <t>谢佳秀</t>
  </si>
  <si>
    <t>符朝兴</t>
  </si>
  <si>
    <t>范青灵</t>
  </si>
  <si>
    <t>庞敏</t>
  </si>
  <si>
    <t>黄琼蝶</t>
  </si>
  <si>
    <t>何雄玲</t>
  </si>
  <si>
    <t>陈洪</t>
  </si>
  <si>
    <t>许文璐</t>
  </si>
  <si>
    <t>张云羽</t>
  </si>
  <si>
    <t>吴佳佳</t>
  </si>
  <si>
    <t>丁杰</t>
  </si>
  <si>
    <t>叶苏桐</t>
  </si>
  <si>
    <t>黄莉萍</t>
  </si>
  <si>
    <t>谢辉暖</t>
  </si>
  <si>
    <t>郑传男</t>
  </si>
  <si>
    <t>陈晓鹏</t>
  </si>
  <si>
    <t>叶玲</t>
  </si>
  <si>
    <t>黎雅祺</t>
  </si>
  <si>
    <t>唐燕娥</t>
  </si>
  <si>
    <t>石怡心</t>
  </si>
  <si>
    <t>王宝俪</t>
  </si>
  <si>
    <t>李清秀</t>
  </si>
  <si>
    <t>李玉君</t>
  </si>
  <si>
    <t>羊萍</t>
  </si>
  <si>
    <t>李日美</t>
  </si>
  <si>
    <t>陈少风</t>
  </si>
  <si>
    <t>黎暖姣</t>
  </si>
  <si>
    <t>黄颖颖</t>
  </si>
  <si>
    <t>谢颖</t>
  </si>
  <si>
    <t>刘君燕</t>
  </si>
  <si>
    <t>王毓慧</t>
  </si>
  <si>
    <t>汤运环</t>
  </si>
  <si>
    <t>孙永泽</t>
  </si>
  <si>
    <t>蒋振坤</t>
  </si>
  <si>
    <t>彭寿静</t>
  </si>
  <si>
    <t>曾晓琳</t>
  </si>
  <si>
    <t>符月</t>
  </si>
  <si>
    <t>黄锦华</t>
  </si>
  <si>
    <t>邓奇盛</t>
  </si>
  <si>
    <t>赵学翠</t>
  </si>
  <si>
    <t>廖小燕</t>
  </si>
  <si>
    <t>羊礼婷</t>
  </si>
  <si>
    <t>曾祥程</t>
  </si>
  <si>
    <t>符少霞</t>
  </si>
  <si>
    <t>吴佳艳</t>
  </si>
  <si>
    <t>王懋凯</t>
  </si>
  <si>
    <t>孙佳益</t>
  </si>
  <si>
    <t>陈海隆</t>
  </si>
  <si>
    <t>杨亚妹</t>
  </si>
  <si>
    <t>张超敏</t>
  </si>
  <si>
    <t>李曼</t>
  </si>
  <si>
    <t>郭俞良</t>
  </si>
  <si>
    <t>高元茜</t>
  </si>
  <si>
    <t>林丽梅</t>
  </si>
  <si>
    <t>柯丹</t>
  </si>
  <si>
    <t>羊琼莲</t>
  </si>
  <si>
    <t>钟燕玲</t>
  </si>
  <si>
    <t>裴润楹</t>
  </si>
  <si>
    <t>王可盈</t>
  </si>
  <si>
    <t>李秋月</t>
  </si>
  <si>
    <t>吴清芳</t>
  </si>
  <si>
    <t>陈觉</t>
  </si>
  <si>
    <t>李海琳</t>
  </si>
  <si>
    <t>王雪琴</t>
  </si>
  <si>
    <t>翁亚珠</t>
  </si>
  <si>
    <t>吴灵静</t>
  </si>
  <si>
    <t>吴培燕</t>
  </si>
  <si>
    <t>宁慧兰</t>
  </si>
  <si>
    <t>符碚</t>
  </si>
  <si>
    <t>陈小花</t>
  </si>
  <si>
    <t>陈江容</t>
  </si>
  <si>
    <t>龙玉艳</t>
  </si>
  <si>
    <t>王俊哲</t>
  </si>
  <si>
    <t>覃贞矣</t>
  </si>
  <si>
    <t>黄海云</t>
  </si>
  <si>
    <t>王元融</t>
  </si>
  <si>
    <t>钟琴</t>
  </si>
  <si>
    <t>赵星阁</t>
  </si>
  <si>
    <t>吴海红</t>
  </si>
  <si>
    <t>孔凤燕</t>
  </si>
  <si>
    <t>郑小婷</t>
  </si>
  <si>
    <t>彭雅棋</t>
  </si>
  <si>
    <t>倪颖姬</t>
  </si>
  <si>
    <t>吴海秋</t>
  </si>
  <si>
    <t>黎福桃</t>
  </si>
  <si>
    <t>陈珏宏</t>
  </si>
  <si>
    <t>卓怀珍</t>
  </si>
  <si>
    <t>劳爱玉</t>
  </si>
  <si>
    <t>姚冬燕</t>
  </si>
  <si>
    <t>王小转</t>
  </si>
  <si>
    <t>殷蕾</t>
  </si>
  <si>
    <t>高忠凤</t>
  </si>
  <si>
    <t>李燕</t>
  </si>
  <si>
    <t>陈振翔</t>
  </si>
  <si>
    <t>符篮尹</t>
  </si>
  <si>
    <t>祁佳佳</t>
  </si>
  <si>
    <t>叶晓琳</t>
  </si>
  <si>
    <t>庞华</t>
  </si>
  <si>
    <t>林怡君</t>
  </si>
  <si>
    <t>关彩翠</t>
  </si>
  <si>
    <t>麦艳菲</t>
  </si>
  <si>
    <t>刘春哓</t>
  </si>
  <si>
    <t>徐庄岚</t>
  </si>
  <si>
    <t>苏妙铃</t>
  </si>
  <si>
    <t>邢慧</t>
  </si>
  <si>
    <t>李佳惠</t>
  </si>
  <si>
    <t>陈上书</t>
  </si>
  <si>
    <t>陈钟婉</t>
  </si>
  <si>
    <t>文时虹</t>
  </si>
  <si>
    <t>林紫薇</t>
  </si>
  <si>
    <t>张曼芬</t>
  </si>
  <si>
    <t>羊汐</t>
  </si>
  <si>
    <t>李斯宇</t>
  </si>
  <si>
    <t>李颖</t>
  </si>
  <si>
    <t>王彬彬</t>
  </si>
  <si>
    <t>梁晨诗</t>
  </si>
  <si>
    <t>符兴芳</t>
  </si>
  <si>
    <t>吴淑娃</t>
  </si>
  <si>
    <t>吴心怡</t>
  </si>
  <si>
    <t>林亚奇</t>
  </si>
  <si>
    <t>李婷婷</t>
  </si>
  <si>
    <t>杨观华</t>
  </si>
  <si>
    <t>劳婷婷</t>
  </si>
  <si>
    <t>邓燕婷</t>
  </si>
  <si>
    <t>何爱花</t>
  </si>
  <si>
    <t>符彩虹</t>
  </si>
  <si>
    <t>罗娇木</t>
  </si>
  <si>
    <t>陈积玉</t>
  </si>
  <si>
    <t>符李桃</t>
  </si>
  <si>
    <t>吴乾侨</t>
  </si>
  <si>
    <t>何二女</t>
  </si>
  <si>
    <t>符发翠</t>
  </si>
  <si>
    <t>徐敬兰</t>
  </si>
  <si>
    <t>吴钟达</t>
  </si>
  <si>
    <t>洪秀美</t>
  </si>
  <si>
    <t>袁圆梦</t>
  </si>
  <si>
    <t>李思源</t>
  </si>
  <si>
    <t>邱雁琳</t>
  </si>
  <si>
    <t>陈云仙</t>
  </si>
  <si>
    <t>郑向虹</t>
  </si>
  <si>
    <t>苏柳羽</t>
  </si>
  <si>
    <t>林爽</t>
  </si>
  <si>
    <t>林小琴</t>
  </si>
  <si>
    <t>吴钟锋</t>
  </si>
  <si>
    <t>王艳姗</t>
  </si>
  <si>
    <t>吴英能</t>
  </si>
  <si>
    <t>吴丹礼</t>
  </si>
  <si>
    <t>王一然</t>
  </si>
  <si>
    <t>石佳川</t>
  </si>
  <si>
    <t>王诗诺</t>
  </si>
  <si>
    <t>何丽秋</t>
  </si>
  <si>
    <t>温春瑜</t>
  </si>
  <si>
    <t>林棋云</t>
  </si>
  <si>
    <t>关小柳</t>
  </si>
  <si>
    <t>钟海妹</t>
  </si>
  <si>
    <t>曾文</t>
  </si>
  <si>
    <t>符丽云</t>
  </si>
  <si>
    <t>杨萍</t>
  </si>
  <si>
    <t>蔡燕清</t>
  </si>
  <si>
    <t>梁梓怡</t>
  </si>
  <si>
    <t>骆俞宏</t>
  </si>
  <si>
    <t>吴扬静</t>
  </si>
  <si>
    <t>谢慧敏</t>
  </si>
  <si>
    <t>朱雪春</t>
  </si>
  <si>
    <t>倪金娇</t>
  </si>
  <si>
    <t>李青芸</t>
  </si>
  <si>
    <t>王小儿</t>
  </si>
  <si>
    <t>李明珍</t>
  </si>
  <si>
    <t>黄子彤</t>
  </si>
  <si>
    <t>符贻汪</t>
  </si>
  <si>
    <t>王赛</t>
  </si>
  <si>
    <t>曹儒虹</t>
  </si>
  <si>
    <t>吴佳芳</t>
  </si>
  <si>
    <t>王方浪</t>
  </si>
  <si>
    <t>韦彩丹</t>
  </si>
  <si>
    <t>许巍伟</t>
  </si>
  <si>
    <t>陈丽</t>
  </si>
  <si>
    <t>邓舒木</t>
  </si>
  <si>
    <t>关宝杰</t>
  </si>
  <si>
    <t>王宝珠</t>
  </si>
  <si>
    <t>梁承教</t>
  </si>
  <si>
    <t>陈柳霞</t>
  </si>
  <si>
    <t>张雅婷</t>
  </si>
  <si>
    <t>熊建兰</t>
  </si>
  <si>
    <t>邱艳婷</t>
  </si>
  <si>
    <t>符海静</t>
  </si>
  <si>
    <t>唐祺</t>
  </si>
  <si>
    <t>王湛怡</t>
  </si>
  <si>
    <t>陈小欢</t>
  </si>
  <si>
    <t>李春霞</t>
  </si>
  <si>
    <t>林妙</t>
  </si>
  <si>
    <t>王雪真</t>
  </si>
  <si>
    <t>邢丽姣</t>
  </si>
  <si>
    <t>王宝晴</t>
  </si>
  <si>
    <t>陈东</t>
  </si>
  <si>
    <t>张继杨</t>
  </si>
  <si>
    <t>苏妹琴</t>
  </si>
  <si>
    <t>吴丽娇</t>
  </si>
  <si>
    <t>薛风妹</t>
  </si>
  <si>
    <t>吴君媛</t>
  </si>
  <si>
    <t>王琳菊</t>
  </si>
  <si>
    <t>毕晶欣</t>
  </si>
  <si>
    <t>黄景</t>
  </si>
  <si>
    <t>曾也</t>
  </si>
  <si>
    <t>吴霓霓</t>
  </si>
  <si>
    <t>陈和云</t>
  </si>
  <si>
    <t>王忆婷</t>
  </si>
  <si>
    <t>李海颜</t>
  </si>
  <si>
    <t>赖方丹</t>
  </si>
  <si>
    <t>鹿芮绮</t>
  </si>
  <si>
    <t>黄海烁</t>
  </si>
  <si>
    <t>吴贤丹</t>
  </si>
  <si>
    <t>范玉蝶</t>
  </si>
  <si>
    <t>吴江花</t>
  </si>
  <si>
    <t>刘琳琳</t>
  </si>
  <si>
    <t>戴俄亮</t>
  </si>
  <si>
    <t>杨全江</t>
  </si>
  <si>
    <t>周荣玲</t>
  </si>
  <si>
    <t>王辉丽</t>
  </si>
  <si>
    <t>钟妍</t>
  </si>
  <si>
    <t>毛会</t>
  </si>
  <si>
    <t>杨喻翔</t>
  </si>
  <si>
    <t>薛小荣</t>
  </si>
  <si>
    <t>乔锦涛</t>
  </si>
  <si>
    <t>马春鸣</t>
  </si>
  <si>
    <t>韦云静</t>
  </si>
  <si>
    <t>顾鑫</t>
  </si>
  <si>
    <t>符梦茹</t>
  </si>
  <si>
    <t>林学美</t>
  </si>
  <si>
    <t>张诗怡</t>
  </si>
  <si>
    <t>庞美娇</t>
  </si>
  <si>
    <t>薛土爱</t>
  </si>
  <si>
    <t>潘洁</t>
  </si>
  <si>
    <t>李琪</t>
  </si>
  <si>
    <t>李杰燕</t>
  </si>
  <si>
    <t>叶秀珠</t>
  </si>
  <si>
    <t>余静</t>
  </si>
  <si>
    <t>符传兵</t>
  </si>
  <si>
    <t>林婧怡</t>
  </si>
  <si>
    <t>林书丹</t>
  </si>
  <si>
    <t>范梦梦</t>
  </si>
  <si>
    <t>郭孟俊</t>
  </si>
  <si>
    <t>叶金莹</t>
  </si>
  <si>
    <t>杜明真</t>
  </si>
  <si>
    <t>李艳会</t>
  </si>
  <si>
    <t>庄茵茵</t>
  </si>
  <si>
    <t>杨淼</t>
  </si>
  <si>
    <t>林喻宁</t>
  </si>
  <si>
    <t>程小欣</t>
  </si>
  <si>
    <t>柯蒙</t>
  </si>
  <si>
    <t>李紫微</t>
  </si>
  <si>
    <t>符春瑜</t>
  </si>
  <si>
    <t>符雪娇</t>
  </si>
  <si>
    <t>吴颖</t>
  </si>
  <si>
    <t>黄世军</t>
  </si>
  <si>
    <t>何冰枝</t>
  </si>
  <si>
    <t>孙花秀</t>
  </si>
  <si>
    <t>王梅</t>
  </si>
  <si>
    <t>谢金丽</t>
  </si>
  <si>
    <t>黎曜</t>
  </si>
  <si>
    <t>陈科杉</t>
  </si>
  <si>
    <t>黄荣娟</t>
  </si>
  <si>
    <t>王雪纯</t>
  </si>
  <si>
    <t>周励纱</t>
  </si>
  <si>
    <t>伍卫红</t>
  </si>
  <si>
    <t>符天武</t>
  </si>
  <si>
    <t>杨天珠</t>
  </si>
  <si>
    <t>林成彩</t>
  </si>
  <si>
    <t>吴英妹</t>
  </si>
  <si>
    <t>张亚娇</t>
  </si>
  <si>
    <t>张思思</t>
  </si>
  <si>
    <t>黎春妹</t>
  </si>
  <si>
    <t>卢瑞美</t>
  </si>
  <si>
    <t>罗泽雅</t>
  </si>
  <si>
    <t>邢美琪</t>
  </si>
  <si>
    <t>殷少雅</t>
  </si>
  <si>
    <t>莫雪婷</t>
  </si>
  <si>
    <t>林郁葱</t>
  </si>
  <si>
    <t>肖灿友</t>
  </si>
  <si>
    <t>叶美菁</t>
  </si>
  <si>
    <t>符彩丽</t>
  </si>
  <si>
    <t>卞在燕</t>
  </si>
  <si>
    <t>吴带竹</t>
  </si>
  <si>
    <t>张宇婷</t>
  </si>
  <si>
    <t>唐仁欢</t>
  </si>
  <si>
    <t>王玉凤</t>
  </si>
  <si>
    <t>丁月</t>
  </si>
  <si>
    <t>刘丽</t>
  </si>
  <si>
    <t>蔡日兰</t>
  </si>
  <si>
    <t>谢秀涓</t>
  </si>
  <si>
    <t>吴彦</t>
  </si>
  <si>
    <t>刘璇</t>
  </si>
  <si>
    <t>刘雅芹</t>
  </si>
  <si>
    <t>羊丽秋</t>
  </si>
  <si>
    <t>王娜二</t>
  </si>
  <si>
    <t>邓坚</t>
  </si>
  <si>
    <t>林少栏</t>
  </si>
  <si>
    <t>纪瑞姣</t>
  </si>
  <si>
    <t>温文丽</t>
  </si>
  <si>
    <t>胡严莉</t>
  </si>
  <si>
    <t>张凯</t>
  </si>
  <si>
    <t>徐蓉</t>
  </si>
  <si>
    <t>颜小花</t>
  </si>
  <si>
    <t>鲁叙</t>
  </si>
  <si>
    <t>毕波</t>
  </si>
  <si>
    <t>李桃逢</t>
  </si>
  <si>
    <t>周燕燕</t>
  </si>
  <si>
    <t>林丽玲</t>
  </si>
  <si>
    <t>陈丽纯</t>
  </si>
  <si>
    <t>宣俊宇</t>
  </si>
  <si>
    <t>吴开露</t>
  </si>
  <si>
    <t>张静</t>
  </si>
  <si>
    <t>王语萱</t>
  </si>
  <si>
    <t>董夏萍</t>
  </si>
  <si>
    <t>许雅</t>
  </si>
  <si>
    <t>孙少兰</t>
  </si>
  <si>
    <t>邱名聪</t>
  </si>
  <si>
    <t>陈引姑</t>
  </si>
  <si>
    <t>李子君</t>
  </si>
  <si>
    <t>黎候羽</t>
  </si>
  <si>
    <t>蔡怡欣</t>
  </si>
  <si>
    <t>罗传柳</t>
  </si>
  <si>
    <t>董小爱</t>
  </si>
  <si>
    <t>106</t>
  </si>
  <si>
    <t>小学体育</t>
  </si>
  <si>
    <t>何贤坊</t>
  </si>
  <si>
    <t>李民轩</t>
  </si>
  <si>
    <t>占忠武</t>
  </si>
  <si>
    <t>陈玉华</t>
  </si>
  <si>
    <t>夏江鹏</t>
  </si>
  <si>
    <t>符永贵</t>
  </si>
  <si>
    <t>张克松</t>
  </si>
  <si>
    <t>郭冲</t>
  </si>
  <si>
    <t>龙华</t>
  </si>
  <si>
    <t>顾贺天</t>
  </si>
  <si>
    <t>陈垂静</t>
  </si>
  <si>
    <t>陈振日</t>
  </si>
  <si>
    <t>胡井龙</t>
  </si>
  <si>
    <t>吉少岩</t>
  </si>
  <si>
    <t>李正</t>
  </si>
  <si>
    <t>范炜杰</t>
  </si>
  <si>
    <t>吴毓山</t>
  </si>
  <si>
    <t>彭熠</t>
  </si>
  <si>
    <t>王小欢</t>
  </si>
  <si>
    <t>郑金新</t>
  </si>
  <si>
    <t>谭妮</t>
  </si>
  <si>
    <t>张志鹏</t>
  </si>
  <si>
    <t>陈智博</t>
  </si>
  <si>
    <t>李会玲</t>
  </si>
  <si>
    <t>符丽如</t>
  </si>
  <si>
    <t>黄鸿康</t>
  </si>
  <si>
    <t>叶祖来</t>
  </si>
  <si>
    <t>李思</t>
  </si>
  <si>
    <t>李经纪</t>
  </si>
  <si>
    <t>陈卫琳</t>
  </si>
  <si>
    <t>谭光亮</t>
  </si>
  <si>
    <t>张洪</t>
  </si>
  <si>
    <t>许治青</t>
  </si>
  <si>
    <t>谢发彬</t>
  </si>
  <si>
    <t>林星湖</t>
  </si>
  <si>
    <t>何文华</t>
  </si>
  <si>
    <t>桂才荣</t>
  </si>
  <si>
    <t>陈友伟</t>
  </si>
  <si>
    <t>符造位</t>
  </si>
  <si>
    <t>肖维</t>
  </si>
  <si>
    <t>庄国仕</t>
  </si>
  <si>
    <t>吴国海</t>
  </si>
  <si>
    <t>刘志银</t>
  </si>
  <si>
    <t>倪德彪</t>
  </si>
  <si>
    <t>陈建</t>
  </si>
  <si>
    <t>朱威超</t>
  </si>
  <si>
    <t>葛莹</t>
  </si>
  <si>
    <t>黄振涛</t>
  </si>
  <si>
    <t>李运睿</t>
  </si>
  <si>
    <t>肖焕连</t>
  </si>
  <si>
    <t>徐日蔚</t>
  </si>
  <si>
    <t>肖灿材</t>
  </si>
  <si>
    <t>张文弟</t>
  </si>
  <si>
    <t>刘巡</t>
  </si>
  <si>
    <t>陈彩影</t>
  </si>
  <si>
    <t>王伊凡</t>
  </si>
  <si>
    <t>曾宇</t>
  </si>
  <si>
    <t>陈候祥</t>
  </si>
  <si>
    <t>陈国强</t>
  </si>
  <si>
    <t>陈贝贝</t>
  </si>
  <si>
    <t>陆精</t>
  </si>
  <si>
    <t>林晓慧</t>
  </si>
  <si>
    <t>张裕祥</t>
  </si>
  <si>
    <t>杨章表</t>
  </si>
  <si>
    <t>黄朝华</t>
  </si>
  <si>
    <t>凌日进</t>
  </si>
  <si>
    <t>高健</t>
  </si>
  <si>
    <t>何果</t>
  </si>
  <si>
    <t>李景棠</t>
  </si>
  <si>
    <t>冯学畅</t>
  </si>
  <si>
    <t>杜正武</t>
  </si>
  <si>
    <t>黄光学</t>
  </si>
  <si>
    <t>董学安</t>
  </si>
  <si>
    <t>张剑锋</t>
  </si>
  <si>
    <t>王小倩</t>
  </si>
  <si>
    <t>董林杰</t>
  </si>
  <si>
    <t>符仕颖</t>
  </si>
  <si>
    <t>刘冰</t>
  </si>
  <si>
    <t>林海滨</t>
  </si>
  <si>
    <t>魏振朔</t>
  </si>
  <si>
    <t>王琳</t>
  </si>
  <si>
    <t>卓海斌</t>
  </si>
  <si>
    <t>黎炳俊</t>
  </si>
  <si>
    <t>彭俊</t>
  </si>
  <si>
    <t>李南健</t>
  </si>
  <si>
    <t>符海交</t>
  </si>
  <si>
    <t>李扬</t>
  </si>
  <si>
    <t>陈瑞阳</t>
  </si>
  <si>
    <t>蔡选昆</t>
  </si>
  <si>
    <t>王晓阳</t>
  </si>
  <si>
    <t>张翔宇</t>
  </si>
  <si>
    <t>符鸿泽</t>
  </si>
  <si>
    <t>孙正</t>
  </si>
  <si>
    <t>梁敏</t>
  </si>
  <si>
    <t>莫伟善</t>
  </si>
  <si>
    <t>牛涛涛</t>
  </si>
  <si>
    <t>陈斌</t>
  </si>
  <si>
    <t>高富荣</t>
  </si>
  <si>
    <t>陈燕荣</t>
  </si>
  <si>
    <t>杨小静</t>
  </si>
  <si>
    <t>王冬明</t>
  </si>
  <si>
    <t>刘德利</t>
  </si>
  <si>
    <t>曾金玲</t>
  </si>
  <si>
    <t>何人亿</t>
  </si>
  <si>
    <t>麦宜鑫</t>
  </si>
  <si>
    <t>张美琳</t>
  </si>
  <si>
    <t>孟磊</t>
  </si>
  <si>
    <t>李高辉</t>
  </si>
  <si>
    <t>蔡景涛</t>
  </si>
  <si>
    <t>姜永强</t>
  </si>
  <si>
    <t>陈启坎</t>
  </si>
  <si>
    <t>陈明召</t>
  </si>
  <si>
    <t>张监师</t>
  </si>
  <si>
    <t>周王龙</t>
  </si>
  <si>
    <t>胡红</t>
  </si>
  <si>
    <t>孙耀玮</t>
  </si>
  <si>
    <t>符小芳</t>
  </si>
  <si>
    <t>林明清</t>
  </si>
  <si>
    <t>王雨</t>
  </si>
  <si>
    <t>符大林</t>
  </si>
  <si>
    <t>马济钰</t>
  </si>
  <si>
    <t>胡容连</t>
  </si>
  <si>
    <t>张轩铭</t>
  </si>
  <si>
    <t>曾川用</t>
  </si>
  <si>
    <t>黄育德</t>
  </si>
  <si>
    <t>刘文理</t>
  </si>
  <si>
    <t>王景</t>
  </si>
  <si>
    <t>郑群莉</t>
  </si>
  <si>
    <t>陈真宝</t>
  </si>
  <si>
    <t>王文勋</t>
  </si>
  <si>
    <t>纪明润</t>
  </si>
  <si>
    <t>符明进</t>
  </si>
  <si>
    <t>陈奕鸿</t>
  </si>
  <si>
    <t>周辉经</t>
  </si>
  <si>
    <t>张昌钰</t>
  </si>
  <si>
    <t>符东</t>
  </si>
  <si>
    <t>闫冬阳</t>
  </si>
  <si>
    <t>旷小洲</t>
  </si>
  <si>
    <t>吴京</t>
  </si>
  <si>
    <t>李树江</t>
  </si>
  <si>
    <t>王小慧</t>
  </si>
  <si>
    <t>苏光乐</t>
  </si>
  <si>
    <t>吴育帅</t>
  </si>
  <si>
    <t>符敦旭</t>
  </si>
  <si>
    <t>谢宜兴</t>
  </si>
  <si>
    <t>莫昌华</t>
  </si>
  <si>
    <t>陈秀丽</t>
  </si>
  <si>
    <t>唐玉年</t>
  </si>
  <si>
    <t>林声铭</t>
  </si>
  <si>
    <t>卢嘉昕</t>
  </si>
  <si>
    <t>陈德高</t>
  </si>
  <si>
    <t>洪德大</t>
  </si>
  <si>
    <t>谭浪</t>
  </si>
  <si>
    <t>张帆</t>
  </si>
  <si>
    <t>衣春霖</t>
  </si>
  <si>
    <t>王先清</t>
  </si>
  <si>
    <t>麦健</t>
  </si>
  <si>
    <t>康同同</t>
  </si>
  <si>
    <t>黎宏琪</t>
  </si>
  <si>
    <t>王赢易</t>
  </si>
  <si>
    <t>杨清云</t>
  </si>
  <si>
    <t>曾维辉</t>
  </si>
  <si>
    <t>张振业</t>
  </si>
  <si>
    <t>宋晶晶</t>
  </si>
  <si>
    <t>刘伟</t>
  </si>
  <si>
    <t>吴文洪</t>
  </si>
  <si>
    <t>李应珠</t>
  </si>
  <si>
    <t>王善群</t>
  </si>
  <si>
    <t>刘峰</t>
  </si>
  <si>
    <t>徐丽红</t>
  </si>
  <si>
    <t>张昌彦</t>
  </si>
  <si>
    <t>韩君衍</t>
  </si>
  <si>
    <t>陈虹妃</t>
  </si>
  <si>
    <t>郑大辉</t>
  </si>
  <si>
    <t>王盛锋</t>
  </si>
  <si>
    <t>苏德雄</t>
  </si>
  <si>
    <t>符岸珠</t>
  </si>
  <si>
    <t>苏展</t>
  </si>
  <si>
    <t>高泽琼</t>
  </si>
  <si>
    <t>陈善胜</t>
  </si>
  <si>
    <t>符保东</t>
  </si>
  <si>
    <t>陈方伯</t>
  </si>
  <si>
    <t>陈其美</t>
  </si>
  <si>
    <t>符高运</t>
  </si>
  <si>
    <t>刁小妹</t>
  </si>
  <si>
    <t>李亚开</t>
  </si>
  <si>
    <t>袁艳敏</t>
  </si>
  <si>
    <t>陈和幹</t>
  </si>
  <si>
    <t>辜民富</t>
  </si>
  <si>
    <t>巫家源</t>
  </si>
  <si>
    <t>吴绵杰</t>
  </si>
  <si>
    <t>曾一晏</t>
  </si>
  <si>
    <t>刘盛发</t>
  </si>
  <si>
    <t>虞洪</t>
  </si>
  <si>
    <t>刘铭柽</t>
  </si>
  <si>
    <t>符祝厚</t>
  </si>
  <si>
    <t>阴佳宸</t>
  </si>
  <si>
    <t>庞世彤</t>
  </si>
  <si>
    <t>吴坤裕</t>
  </si>
  <si>
    <t>田聪</t>
  </si>
  <si>
    <t>陈岳胜</t>
  </si>
  <si>
    <t>王兴超</t>
  </si>
  <si>
    <t>刘方征</t>
  </si>
  <si>
    <t>王永文</t>
  </si>
  <si>
    <t>黄慧婷</t>
  </si>
  <si>
    <t>林志翔</t>
  </si>
  <si>
    <t>李玉芝</t>
  </si>
  <si>
    <t>田一秀</t>
  </si>
  <si>
    <t>王翔</t>
  </si>
  <si>
    <t>王丁威</t>
  </si>
  <si>
    <t>陆海芬</t>
  </si>
  <si>
    <t>计威威</t>
  </si>
  <si>
    <t>沈峻棡</t>
  </si>
  <si>
    <t>吴晶晶</t>
  </si>
  <si>
    <t>吴位宁</t>
  </si>
  <si>
    <t>吴源辕</t>
  </si>
  <si>
    <t>邱安琪</t>
  </si>
  <si>
    <t>王伟祥</t>
  </si>
  <si>
    <t>陈嘉健</t>
  </si>
  <si>
    <t>唐文畅</t>
  </si>
  <si>
    <t>王东</t>
  </si>
  <si>
    <t>林哲韬</t>
  </si>
  <si>
    <t>周逸</t>
  </si>
  <si>
    <t>林道武</t>
  </si>
  <si>
    <t>陈峰</t>
  </si>
  <si>
    <t>蔡笃锦</t>
  </si>
  <si>
    <t>姜兰</t>
  </si>
  <si>
    <t>邓世伟</t>
  </si>
  <si>
    <t>李玉梁</t>
  </si>
  <si>
    <t>刘天浩</t>
  </si>
  <si>
    <t>王康胜</t>
  </si>
  <si>
    <t>王唐</t>
  </si>
  <si>
    <t>梁少玲</t>
  </si>
  <si>
    <t>羊家博</t>
  </si>
  <si>
    <t>符云雨</t>
  </si>
  <si>
    <t>蔡教禧</t>
  </si>
  <si>
    <t>徐华承</t>
  </si>
  <si>
    <t>梁乐杰</t>
  </si>
  <si>
    <t>翟紫微</t>
  </si>
  <si>
    <t>符兴乐</t>
  </si>
  <si>
    <t>冯成睿</t>
  </si>
  <si>
    <t>李世俊</t>
  </si>
  <si>
    <t>吴淑力</t>
  </si>
  <si>
    <t>符大树</t>
  </si>
  <si>
    <t>王国伟</t>
  </si>
  <si>
    <t>郑紫寒</t>
  </si>
  <si>
    <t>刘值谷</t>
  </si>
  <si>
    <t>张兰云</t>
  </si>
  <si>
    <t>陈奕森</t>
  </si>
  <si>
    <t>郭子成</t>
  </si>
  <si>
    <t>林敏华</t>
  </si>
  <si>
    <t>邓佳豪</t>
  </si>
  <si>
    <t>邹滢瑶</t>
  </si>
  <si>
    <t>崔淑娟</t>
  </si>
  <si>
    <t>余忠祥</t>
  </si>
  <si>
    <t>谭必超</t>
  </si>
  <si>
    <t>钟承纯</t>
  </si>
  <si>
    <t>郭永君</t>
  </si>
  <si>
    <t>孙欣</t>
  </si>
  <si>
    <t>孟醒</t>
  </si>
  <si>
    <t>叶庆辉</t>
  </si>
  <si>
    <t>吴大进</t>
  </si>
  <si>
    <t>罗浩</t>
  </si>
  <si>
    <t>李海南</t>
  </si>
  <si>
    <t>郝渌涛</t>
  </si>
  <si>
    <t>隋清云</t>
  </si>
  <si>
    <t>赵睿</t>
  </si>
  <si>
    <t>陈峥嵘</t>
  </si>
  <si>
    <t>曹斌</t>
  </si>
  <si>
    <t>陈荣超</t>
  </si>
  <si>
    <t>王劲</t>
  </si>
  <si>
    <t>杨美月</t>
  </si>
  <si>
    <t>戴嘉阳</t>
  </si>
  <si>
    <t>林道壮</t>
  </si>
  <si>
    <t>胡依格</t>
  </si>
  <si>
    <t>谢永博</t>
  </si>
  <si>
    <t>李智泽</t>
  </si>
  <si>
    <t>陈小正</t>
  </si>
  <si>
    <t>符裕诚</t>
  </si>
  <si>
    <t>李既威</t>
  </si>
  <si>
    <t>曾祥冉</t>
  </si>
  <si>
    <t>黄小山</t>
  </si>
  <si>
    <t>李立作</t>
  </si>
  <si>
    <t>吴树宁</t>
  </si>
  <si>
    <t>王首铭</t>
  </si>
  <si>
    <t>杨文博</t>
  </si>
  <si>
    <t>欧哲彬</t>
  </si>
  <si>
    <t>李欣潇</t>
  </si>
  <si>
    <t>王碧姬</t>
  </si>
  <si>
    <t>邝俊山</t>
  </si>
  <si>
    <t>刘思雨</t>
  </si>
  <si>
    <t>云美珍</t>
  </si>
  <si>
    <t xml:space="preserve">孙翠霞 </t>
  </si>
  <si>
    <t>冯秋琼</t>
  </si>
  <si>
    <t>李学高</t>
  </si>
  <si>
    <t>张捷</t>
  </si>
  <si>
    <t>梁舒慧</t>
  </si>
  <si>
    <t>林明卓</t>
  </si>
  <si>
    <t>黄镜澄</t>
  </si>
  <si>
    <t>徐启铭</t>
  </si>
  <si>
    <t>段晨晨</t>
  </si>
  <si>
    <t>陈荣林</t>
  </si>
  <si>
    <t>胡张瑞</t>
  </si>
  <si>
    <t>蔡世腾</t>
  </si>
  <si>
    <t>刘现圆</t>
  </si>
  <si>
    <t>吴多超</t>
  </si>
  <si>
    <t>郭嘉伟</t>
  </si>
  <si>
    <t>游奇灵</t>
  </si>
  <si>
    <t>邓仰林</t>
  </si>
  <si>
    <t>秦娜</t>
  </si>
  <si>
    <t>方文翔</t>
  </si>
  <si>
    <t>杨丽芝</t>
  </si>
  <si>
    <t>何贤恒</t>
  </si>
  <si>
    <t>高韩秋</t>
  </si>
  <si>
    <t>毛书芹</t>
  </si>
  <si>
    <t>陈晓玲</t>
  </si>
  <si>
    <t>杨令捷</t>
  </si>
  <si>
    <t>周浩</t>
  </si>
  <si>
    <t>蔡璟</t>
  </si>
  <si>
    <t>丘玉连</t>
  </si>
  <si>
    <t>苏燕妮</t>
  </si>
  <si>
    <t>刘宇航</t>
  </si>
  <si>
    <t>孙晓晴</t>
  </si>
  <si>
    <t>罗永怡</t>
  </si>
  <si>
    <t>苏明锐</t>
  </si>
  <si>
    <t>邓家龙</t>
  </si>
  <si>
    <t>万伟志</t>
  </si>
  <si>
    <t>董少慧</t>
  </si>
  <si>
    <t>陈世伟</t>
  </si>
  <si>
    <t>张旗</t>
  </si>
  <si>
    <t>韩小亮</t>
  </si>
  <si>
    <t>王明武</t>
  </si>
  <si>
    <t>凌家杰</t>
  </si>
  <si>
    <t>李有庭</t>
  </si>
  <si>
    <t>吉育伟</t>
  </si>
  <si>
    <t>钟涛</t>
  </si>
  <si>
    <t>张文优</t>
  </si>
  <si>
    <t>胡邱杰</t>
  </si>
  <si>
    <t>李雷向</t>
  </si>
  <si>
    <t>王晓程</t>
  </si>
  <si>
    <t>叶冰冰</t>
  </si>
  <si>
    <t>符江池</t>
  </si>
  <si>
    <t>刘园</t>
  </si>
  <si>
    <t>容才飞</t>
  </si>
  <si>
    <t>刘佳昂</t>
  </si>
  <si>
    <t>詹兴裕</t>
  </si>
  <si>
    <t>罗兴吉</t>
  </si>
  <si>
    <t>何志满</t>
  </si>
  <si>
    <t>陈德勤</t>
  </si>
  <si>
    <t>林苑</t>
  </si>
  <si>
    <t>陈宇君</t>
  </si>
  <si>
    <t>黄巧</t>
  </si>
  <si>
    <t>王金容</t>
  </si>
  <si>
    <t>吴定金</t>
  </si>
  <si>
    <t>胡童</t>
  </si>
  <si>
    <t>陈泽康</t>
  </si>
  <si>
    <t>吴飞</t>
  </si>
  <si>
    <t>梅振东</t>
  </si>
  <si>
    <t>李精才</t>
  </si>
  <si>
    <t>陈进影</t>
  </si>
  <si>
    <t>段爽爽</t>
  </si>
  <si>
    <t>徐唱</t>
  </si>
  <si>
    <t>覃鹏起</t>
  </si>
  <si>
    <t>李文琪</t>
  </si>
  <si>
    <t>董继宏</t>
  </si>
  <si>
    <t>王小波</t>
  </si>
  <si>
    <t>刘元炜</t>
  </si>
  <si>
    <t>李克朝</t>
  </si>
  <si>
    <t>钱晓乐</t>
  </si>
  <si>
    <t>赵若铭</t>
  </si>
  <si>
    <t>杨玉莹</t>
  </si>
  <si>
    <t>魏泱哲</t>
  </si>
  <si>
    <t>王运来</t>
  </si>
  <si>
    <t>黄裕寿</t>
  </si>
  <si>
    <t>彭振原</t>
  </si>
  <si>
    <t>吴广朗</t>
  </si>
  <si>
    <t>石造</t>
  </si>
  <si>
    <t>王澜</t>
  </si>
  <si>
    <t>符家亮</t>
  </si>
  <si>
    <t>黄淑婉</t>
  </si>
  <si>
    <t>刘叶媛</t>
  </si>
  <si>
    <t>兰曦</t>
  </si>
  <si>
    <t>蔡兴铸</t>
  </si>
  <si>
    <t>莫丰玮</t>
  </si>
  <si>
    <t>王儒沉</t>
  </si>
  <si>
    <t>杨成义</t>
  </si>
  <si>
    <t>陈言注</t>
  </si>
  <si>
    <t>张爱娇</t>
  </si>
  <si>
    <t>胡少天</t>
  </si>
  <si>
    <t>程俊曦</t>
  </si>
  <si>
    <t>林小贤</t>
  </si>
  <si>
    <t>谭德胜</t>
  </si>
  <si>
    <t>赵钧豪</t>
  </si>
  <si>
    <t>符亚祥</t>
  </si>
  <si>
    <t>黎肇腾</t>
  </si>
  <si>
    <t>张振东</t>
  </si>
  <si>
    <t>黄森</t>
  </si>
  <si>
    <t>王立慧</t>
  </si>
  <si>
    <t>李发武</t>
  </si>
  <si>
    <t>杨名杰</t>
  </si>
  <si>
    <t>何录腾</t>
  </si>
  <si>
    <t>符宗专</t>
  </si>
  <si>
    <t>龙丁广</t>
  </si>
  <si>
    <t>周荟嘉</t>
  </si>
  <si>
    <t>汪武警</t>
  </si>
  <si>
    <t>黄海璐</t>
  </si>
  <si>
    <t>李达辉</t>
  </si>
  <si>
    <t>朱保吏</t>
  </si>
  <si>
    <t>邓振阳</t>
  </si>
  <si>
    <t>林志明</t>
  </si>
  <si>
    <t>黄乐</t>
  </si>
  <si>
    <t>朱旭东</t>
  </si>
  <si>
    <t>欧阳则一</t>
  </si>
  <si>
    <t>罗莹</t>
  </si>
  <si>
    <t>黄诚</t>
  </si>
  <si>
    <t>符庭伟</t>
  </si>
  <si>
    <t>阳柳清</t>
  </si>
  <si>
    <t>韩腾</t>
  </si>
  <si>
    <t>黄城程</t>
  </si>
  <si>
    <t>郑时一</t>
  </si>
  <si>
    <t>彭恩闰</t>
  </si>
  <si>
    <t>岳思辰</t>
  </si>
  <si>
    <t>符丽妹</t>
  </si>
  <si>
    <t>赖丹芝</t>
  </si>
  <si>
    <t>郑茗方</t>
  </si>
  <si>
    <t>欧奕浩</t>
  </si>
  <si>
    <t>黄世河</t>
  </si>
  <si>
    <t>戴奇湘</t>
  </si>
  <si>
    <t>董嫱昕</t>
  </si>
  <si>
    <t>吉训豪</t>
  </si>
  <si>
    <t>黄在裕</t>
  </si>
  <si>
    <t>叶从欢</t>
  </si>
  <si>
    <t>谭博宇</t>
  </si>
  <si>
    <t>符国杨</t>
  </si>
  <si>
    <t>敖章腾</t>
  </si>
  <si>
    <t>王建颖</t>
  </si>
  <si>
    <t>刘巍</t>
  </si>
  <si>
    <t>王政森</t>
  </si>
  <si>
    <t>王崇旭</t>
  </si>
  <si>
    <t>林方威</t>
  </si>
  <si>
    <t>王鸿飞</t>
  </si>
  <si>
    <t>周幂</t>
  </si>
  <si>
    <t>翁振辉</t>
  </si>
  <si>
    <t>张丰贤</t>
  </si>
  <si>
    <t>李斌</t>
  </si>
  <si>
    <t>王守义</t>
  </si>
  <si>
    <t>占家豪</t>
  </si>
  <si>
    <t>张璇</t>
  </si>
  <si>
    <t>王和陆</t>
  </si>
  <si>
    <t>黄毓敏</t>
  </si>
  <si>
    <t>胡冉</t>
  </si>
  <si>
    <t>林瑞硕</t>
  </si>
  <si>
    <t>景欣</t>
  </si>
  <si>
    <t>李文宇</t>
  </si>
  <si>
    <t>孙喜文</t>
  </si>
  <si>
    <t>朱文材</t>
  </si>
  <si>
    <t>王志甜</t>
  </si>
  <si>
    <t>谢文婷</t>
  </si>
  <si>
    <t>欧开轩</t>
  </si>
  <si>
    <t>李达培</t>
  </si>
  <si>
    <t>甘露</t>
  </si>
  <si>
    <t>苏宏杰</t>
  </si>
  <si>
    <t>胡宇辰</t>
  </si>
  <si>
    <t>谭清清</t>
  </si>
  <si>
    <t>刘碧瑛</t>
  </si>
  <si>
    <t>王康浩</t>
  </si>
  <si>
    <t>薛瑞丰</t>
  </si>
  <si>
    <t>杨家红</t>
  </si>
  <si>
    <t>蒙钟政</t>
  </si>
  <si>
    <t>刘亚伦</t>
  </si>
  <si>
    <t>刘映</t>
  </si>
  <si>
    <t>刘宦</t>
  </si>
  <si>
    <t>陈文键</t>
  </si>
  <si>
    <t>毛彦梅</t>
  </si>
  <si>
    <t>梁安腾</t>
  </si>
  <si>
    <t>董叁鹏</t>
  </si>
  <si>
    <t>刘晟</t>
  </si>
  <si>
    <t>颜伟韬</t>
  </si>
  <si>
    <t>赵成榜</t>
  </si>
  <si>
    <t>奉文华</t>
  </si>
  <si>
    <t>封云</t>
  </si>
  <si>
    <t>陈策思</t>
  </si>
  <si>
    <t>李昌坤</t>
  </si>
  <si>
    <t>王琪淇</t>
  </si>
  <si>
    <t>李文昊</t>
  </si>
  <si>
    <t>刘泽昊</t>
  </si>
  <si>
    <t>陆莹</t>
  </si>
  <si>
    <t>符泰</t>
  </si>
  <si>
    <t>李纪洁</t>
  </si>
  <si>
    <t>梁以乐</t>
  </si>
  <si>
    <t>王凤</t>
  </si>
  <si>
    <t>梁渊鑫</t>
  </si>
  <si>
    <t>吴英博</t>
  </si>
  <si>
    <t>温文杰</t>
  </si>
  <si>
    <t>任玺嫒</t>
  </si>
  <si>
    <t>肖颖</t>
  </si>
  <si>
    <t>张键</t>
  </si>
  <si>
    <t>陈孝国</t>
  </si>
  <si>
    <t>王明华</t>
  </si>
  <si>
    <t>张昌凯</t>
  </si>
  <si>
    <t>郭仁亮</t>
  </si>
  <si>
    <t>屈飞宇</t>
  </si>
  <si>
    <t>王哲</t>
  </si>
  <si>
    <t>潘纪传</t>
  </si>
  <si>
    <t>王玺</t>
  </si>
  <si>
    <t>周殷因</t>
  </si>
  <si>
    <t>蔡教磊</t>
  </si>
  <si>
    <t>陈盛</t>
  </si>
  <si>
    <t>姚慧</t>
  </si>
  <si>
    <t>李娇娇</t>
  </si>
  <si>
    <t>盛世煜</t>
  </si>
  <si>
    <t>陈树桥</t>
  </si>
  <si>
    <t>符永达</t>
  </si>
  <si>
    <t>岳津竹</t>
  </si>
  <si>
    <t>蒲博</t>
  </si>
  <si>
    <t>吴慧敏</t>
  </si>
  <si>
    <t>张倩</t>
  </si>
  <si>
    <t>张鹏鹏</t>
  </si>
  <si>
    <t>梁海泉</t>
  </si>
  <si>
    <t>王志顺</t>
  </si>
  <si>
    <t>刘颖雯</t>
  </si>
  <si>
    <t>周建成</t>
  </si>
  <si>
    <t>许毅喆</t>
  </si>
  <si>
    <t>李磊</t>
  </si>
  <si>
    <t>龙昌衡</t>
  </si>
  <si>
    <t>李林燕</t>
  </si>
  <si>
    <t>肖泽芳</t>
  </si>
  <si>
    <t>苏南</t>
  </si>
  <si>
    <t>陈乐</t>
  </si>
  <si>
    <t>王平琼</t>
  </si>
  <si>
    <t>王姜雅</t>
  </si>
  <si>
    <t>陈玺任</t>
  </si>
  <si>
    <t>林道勇</t>
  </si>
  <si>
    <t>冯宝宇</t>
  </si>
  <si>
    <t>王祥齐</t>
  </si>
  <si>
    <t>曹嘉文</t>
  </si>
  <si>
    <t>曹显梁</t>
  </si>
  <si>
    <t>王庆磊</t>
  </si>
  <si>
    <t>杨昭帅</t>
  </si>
  <si>
    <t>王泽轩</t>
  </si>
  <si>
    <t>杨宇笛</t>
  </si>
  <si>
    <t>苏嘉慧</t>
  </si>
  <si>
    <t>黄岩</t>
  </si>
  <si>
    <t>刘雅琴</t>
  </si>
  <si>
    <t>李明源</t>
  </si>
  <si>
    <t>高源</t>
  </si>
  <si>
    <t>林鸿</t>
  </si>
  <si>
    <t>黄兹炳</t>
  </si>
  <si>
    <t>杨甜甜</t>
  </si>
  <si>
    <t>李传浪</t>
  </si>
  <si>
    <t>107</t>
  </si>
  <si>
    <t>小学音乐</t>
  </si>
  <si>
    <t>袁晓晓</t>
  </si>
  <si>
    <t>杨洋</t>
  </si>
  <si>
    <t>王丽媛</t>
  </si>
  <si>
    <t>王睿</t>
  </si>
  <si>
    <t>陈华美</t>
  </si>
  <si>
    <t>罗明健</t>
  </si>
  <si>
    <t>石春武</t>
  </si>
  <si>
    <t>刘宁</t>
  </si>
  <si>
    <t>谭韵国</t>
  </si>
  <si>
    <t>莫慧雪</t>
  </si>
  <si>
    <t>王雪明</t>
  </si>
  <si>
    <t>付家辉</t>
  </si>
  <si>
    <t>谢丽</t>
  </si>
  <si>
    <t>邹丹妮</t>
  </si>
  <si>
    <t>郭美翠</t>
  </si>
  <si>
    <t>吉天生</t>
  </si>
  <si>
    <t>李天龙</t>
  </si>
  <si>
    <t>陆媛慧</t>
  </si>
  <si>
    <t>陈少颖</t>
  </si>
  <si>
    <t>曹惋茗</t>
  </si>
  <si>
    <t>黄雅铃</t>
  </si>
  <si>
    <t>卓依琳</t>
  </si>
  <si>
    <t>陈周楠</t>
  </si>
  <si>
    <t>贺鑫颖</t>
  </si>
  <si>
    <t>李花</t>
  </si>
  <si>
    <t>潘国乐</t>
  </si>
  <si>
    <t>王海英</t>
  </si>
  <si>
    <t>谭钰</t>
  </si>
  <si>
    <t>王钰君</t>
  </si>
  <si>
    <t>龙玉润</t>
  </si>
  <si>
    <t>丛若冰</t>
  </si>
  <si>
    <t>彭丽曼</t>
  </si>
  <si>
    <t>黄晓宁</t>
  </si>
  <si>
    <t>张淼</t>
  </si>
  <si>
    <t>周秀伞</t>
  </si>
  <si>
    <t>唐艳琼</t>
  </si>
  <si>
    <t>黄存绣</t>
  </si>
  <si>
    <t>林猷柔</t>
  </si>
  <si>
    <t>梁宝文</t>
  </si>
  <si>
    <t>宋春娇</t>
  </si>
  <si>
    <t>符笑琼</t>
  </si>
  <si>
    <t>羊芸瑜</t>
  </si>
  <si>
    <t>王晓君</t>
  </si>
  <si>
    <t>冼李春</t>
  </si>
  <si>
    <t>冯哲筱</t>
  </si>
  <si>
    <t>石雪杉</t>
  </si>
  <si>
    <t>黄娱纯</t>
  </si>
  <si>
    <t>陈焕冠</t>
  </si>
  <si>
    <t>董格格</t>
  </si>
  <si>
    <t>刘杰</t>
  </si>
  <si>
    <t>赵雁南</t>
  </si>
  <si>
    <t>张祖薇</t>
  </si>
  <si>
    <t>胡梦予</t>
  </si>
  <si>
    <t>王梦月</t>
  </si>
  <si>
    <t>赵琦鑫</t>
  </si>
  <si>
    <t>符芷怡</t>
  </si>
  <si>
    <t>黄京京</t>
  </si>
  <si>
    <t>卢哨</t>
  </si>
  <si>
    <t>何芳</t>
  </si>
  <si>
    <t xml:space="preserve">陈庆翠 </t>
  </si>
  <si>
    <t>吴旋</t>
  </si>
  <si>
    <t>王佳娜</t>
  </si>
  <si>
    <t>罗佩婷</t>
  </si>
  <si>
    <t>叶梁茜梓</t>
  </si>
  <si>
    <t>吴林垚</t>
  </si>
  <si>
    <t>陈秋语</t>
  </si>
  <si>
    <t>陈雨菲</t>
  </si>
  <si>
    <t>陈雨馨</t>
  </si>
  <si>
    <t>麦丽温</t>
  </si>
  <si>
    <t>董佳琦</t>
  </si>
  <si>
    <t>唐蜜</t>
  </si>
  <si>
    <t>张晗嫣</t>
  </si>
  <si>
    <t>庄丽娴</t>
  </si>
  <si>
    <t>闫育 龙</t>
  </si>
  <si>
    <t>陈玉女</t>
  </si>
  <si>
    <t>汤心怡</t>
  </si>
  <si>
    <t>王菲</t>
  </si>
  <si>
    <t>谢梦馨</t>
  </si>
  <si>
    <t>陈丽芽</t>
  </si>
  <si>
    <t>彭文德</t>
  </si>
  <si>
    <t>李尧</t>
  </si>
  <si>
    <t>符良霞</t>
  </si>
  <si>
    <t>金耀珥</t>
  </si>
  <si>
    <t>梁百川</t>
  </si>
  <si>
    <t>曾春婉</t>
  </si>
  <si>
    <t>汤宇</t>
  </si>
  <si>
    <t>席甜甜</t>
  </si>
  <si>
    <t>曾娜</t>
  </si>
  <si>
    <t>刘洋</t>
  </si>
  <si>
    <t>罗玖玟</t>
  </si>
  <si>
    <t>曾靖萱</t>
  </si>
  <si>
    <t>苏怡</t>
  </si>
  <si>
    <t>吴挺丽</t>
  </si>
  <si>
    <t>张敏梅</t>
  </si>
  <si>
    <t>涂志程</t>
  </si>
  <si>
    <t>马琴</t>
  </si>
  <si>
    <t>周云青</t>
  </si>
  <si>
    <t>严慧</t>
  </si>
  <si>
    <t>尹子笑</t>
  </si>
  <si>
    <t>鄢江丽</t>
  </si>
  <si>
    <t>吴昭颖</t>
  </si>
  <si>
    <t>陈恋</t>
  </si>
  <si>
    <t>刘佳</t>
  </si>
  <si>
    <t>张金颖</t>
  </si>
  <si>
    <t>游子涵</t>
  </si>
  <si>
    <t>唐梅艳</t>
  </si>
  <si>
    <t>陈必博</t>
  </si>
  <si>
    <t>李佳星</t>
  </si>
  <si>
    <t>鲁思源</t>
  </si>
  <si>
    <t>黄宇虹</t>
  </si>
  <si>
    <t>李璐</t>
  </si>
  <si>
    <t>杨贞</t>
  </si>
  <si>
    <t>徐蕾</t>
  </si>
  <si>
    <t>邱梦慧</t>
  </si>
  <si>
    <t>张春娇</t>
  </si>
  <si>
    <t>谢锦颖</t>
  </si>
  <si>
    <t>陈香羽</t>
  </si>
  <si>
    <t>李鑫欣</t>
  </si>
  <si>
    <t>王君璐</t>
  </si>
  <si>
    <t>谢方</t>
  </si>
  <si>
    <t>王玉</t>
  </si>
  <si>
    <t>韦雅倩</t>
  </si>
  <si>
    <t>周亭均</t>
  </si>
  <si>
    <t>李晓雪</t>
  </si>
  <si>
    <t>黄宁燕</t>
  </si>
  <si>
    <t>廖文杏</t>
  </si>
  <si>
    <t>陈滢滢</t>
  </si>
  <si>
    <t>郭美含</t>
  </si>
  <si>
    <t>林雯虹</t>
  </si>
  <si>
    <t>黄斯琪</t>
  </si>
  <si>
    <t>蒋洁涵</t>
  </si>
  <si>
    <t>王小惠</t>
  </si>
  <si>
    <t>吴知倍</t>
  </si>
  <si>
    <t>周淑乾</t>
  </si>
  <si>
    <t>封培帆</t>
  </si>
  <si>
    <t>刘子晴</t>
  </si>
  <si>
    <t>王子梅</t>
  </si>
  <si>
    <t>冰融</t>
  </si>
  <si>
    <t>李美欣</t>
  </si>
  <si>
    <t>石渭渭</t>
  </si>
  <si>
    <t>吴新秀</t>
  </si>
  <si>
    <t>肖一纯</t>
  </si>
  <si>
    <t>罗清</t>
  </si>
  <si>
    <t>黄海芳</t>
  </si>
  <si>
    <t>郑舒月</t>
  </si>
  <si>
    <t>陈可儿</t>
  </si>
  <si>
    <t>施柳</t>
  </si>
  <si>
    <t>符菁菁</t>
  </si>
  <si>
    <t>文巨沁</t>
  </si>
  <si>
    <t>林童瑶</t>
  </si>
  <si>
    <t>王思思</t>
  </si>
  <si>
    <t>赖正兴</t>
  </si>
  <si>
    <t>黄慧玲</t>
  </si>
  <si>
    <t>陈天慧</t>
  </si>
  <si>
    <t>李少如</t>
  </si>
  <si>
    <t>向颖涵</t>
  </si>
  <si>
    <t>周巧玲</t>
  </si>
  <si>
    <t>陈萧洋</t>
  </si>
  <si>
    <t>成方琳</t>
  </si>
  <si>
    <t>田进霞</t>
  </si>
  <si>
    <t>王尧莹</t>
  </si>
  <si>
    <t>陈铭</t>
  </si>
  <si>
    <t>陈忠宇</t>
  </si>
  <si>
    <t>李海玲</t>
  </si>
  <si>
    <t>黄孝春</t>
  </si>
  <si>
    <t>陈绪桃</t>
  </si>
  <si>
    <t>钟琪琪</t>
  </si>
  <si>
    <t>王文善</t>
  </si>
  <si>
    <t>郑雪荷</t>
  </si>
  <si>
    <t>文琪</t>
  </si>
  <si>
    <t>孙菲</t>
  </si>
  <si>
    <t>张晓淇</t>
  </si>
  <si>
    <t>符慧琳</t>
  </si>
  <si>
    <t>陈洁</t>
  </si>
  <si>
    <t>黄日莹</t>
  </si>
  <si>
    <t>冼世祥</t>
  </si>
  <si>
    <t>邢妍</t>
  </si>
  <si>
    <t>李悦颜</t>
  </si>
  <si>
    <t>梁安娜</t>
  </si>
  <si>
    <t>孙有坚</t>
  </si>
  <si>
    <t>陈家雄</t>
  </si>
  <si>
    <t>蓝焕莉</t>
  </si>
  <si>
    <t>王丛榕</t>
  </si>
  <si>
    <t>周巧巧</t>
  </si>
  <si>
    <t>许淑纪</t>
  </si>
  <si>
    <t>冯芙荟</t>
  </si>
  <si>
    <t>王春姗</t>
  </si>
  <si>
    <t>陶蓝灵</t>
  </si>
  <si>
    <t>韦佳佳</t>
  </si>
  <si>
    <t>刘桐冰</t>
  </si>
  <si>
    <t>梁欣欣</t>
  </si>
  <si>
    <t>祁嫚腊</t>
  </si>
  <si>
    <t>吴春燕</t>
  </si>
  <si>
    <t>符晓艳</t>
  </si>
  <si>
    <t>李欣欣</t>
  </si>
  <si>
    <t>张娅</t>
  </si>
  <si>
    <t>肖煜</t>
  </si>
  <si>
    <t>林明紫</t>
  </si>
  <si>
    <t>郭虹妙</t>
  </si>
  <si>
    <t>翁海婷</t>
  </si>
  <si>
    <t>符一冰</t>
  </si>
  <si>
    <t>徐锦雯</t>
  </si>
  <si>
    <t>苏丽丽</t>
  </si>
  <si>
    <t>卓蕾</t>
  </si>
  <si>
    <t>钟尊翠</t>
  </si>
  <si>
    <t>陈云立</t>
  </si>
  <si>
    <t>赵宇</t>
  </si>
  <si>
    <t>关翔</t>
  </si>
  <si>
    <t>卫雪萍</t>
  </si>
  <si>
    <t>陈小蓉</t>
  </si>
  <si>
    <t>杨婷</t>
  </si>
  <si>
    <t>张馨华</t>
  </si>
  <si>
    <t>冯一格</t>
  </si>
  <si>
    <t>艾丽馨</t>
  </si>
  <si>
    <t>孙丽玲</t>
  </si>
  <si>
    <t>杨金金</t>
  </si>
  <si>
    <t>劳泌鑫</t>
  </si>
  <si>
    <t>詹欣</t>
  </si>
  <si>
    <t>王婷婧</t>
  </si>
  <si>
    <t>刘万芳</t>
  </si>
  <si>
    <t>王鑫</t>
  </si>
  <si>
    <t>曾令琳</t>
  </si>
  <si>
    <t>符京丹</t>
  </si>
  <si>
    <t>李小晓</t>
  </si>
  <si>
    <t>张亚奇</t>
  </si>
  <si>
    <t>周玉婷</t>
  </si>
  <si>
    <t>刘春</t>
  </si>
  <si>
    <t>张毓</t>
  </si>
  <si>
    <t>徐雨杨</t>
  </si>
  <si>
    <t>王龙衍</t>
  </si>
  <si>
    <t>林春娘</t>
  </si>
  <si>
    <t>刘翠</t>
  </si>
  <si>
    <t>李敏</t>
  </si>
  <si>
    <t>符兰花</t>
  </si>
  <si>
    <t>李东政</t>
  </si>
  <si>
    <t>杨德华</t>
  </si>
  <si>
    <t>符媚</t>
  </si>
  <si>
    <t>林莉</t>
  </si>
  <si>
    <t>温薇</t>
  </si>
  <si>
    <t>裴星智</t>
  </si>
  <si>
    <t>赵洁</t>
  </si>
  <si>
    <t>胡蓉</t>
  </si>
  <si>
    <t>韦国兵</t>
  </si>
  <si>
    <t>胡蓉君</t>
  </si>
  <si>
    <t>邹韵蓉</t>
  </si>
  <si>
    <t>林璨</t>
  </si>
  <si>
    <t>刘星月</t>
  </si>
  <si>
    <t>姚池</t>
  </si>
  <si>
    <t>高善冬</t>
  </si>
  <si>
    <t>徐一萍</t>
  </si>
  <si>
    <t>李雅君</t>
  </si>
  <si>
    <t>刘晏</t>
  </si>
  <si>
    <t>符素诗</t>
  </si>
  <si>
    <t>黄妙媛</t>
  </si>
  <si>
    <t>耿闻婷</t>
  </si>
  <si>
    <t>吕晓雪</t>
  </si>
  <si>
    <t>邢晓雯</t>
  </si>
  <si>
    <t>李婧</t>
  </si>
  <si>
    <t>陈瑶珅</t>
  </si>
  <si>
    <t>李雨璇</t>
  </si>
  <si>
    <t>符坤曼</t>
  </si>
  <si>
    <t>马燕针</t>
  </si>
  <si>
    <t>李梅妍</t>
  </si>
  <si>
    <t>吴震</t>
  </si>
  <si>
    <t>邓紫嫣</t>
  </si>
  <si>
    <t>何梦奇</t>
  </si>
  <si>
    <t>陈美佳</t>
  </si>
  <si>
    <t>周军</t>
  </si>
  <si>
    <t>羊顺梅</t>
  </si>
  <si>
    <t>李佳烨</t>
  </si>
  <si>
    <t>李惠</t>
  </si>
  <si>
    <t>马书昕</t>
  </si>
  <si>
    <t>王奇敏</t>
  </si>
  <si>
    <t>熊贤安</t>
  </si>
  <si>
    <t>欧祥妹</t>
  </si>
  <si>
    <t>符书海</t>
  </si>
  <si>
    <t>田星燕</t>
  </si>
  <si>
    <t>程静</t>
  </si>
  <si>
    <t>植晓倩</t>
  </si>
  <si>
    <t>杨定琨</t>
  </si>
  <si>
    <t>车小行</t>
  </si>
  <si>
    <t>叶馨洁</t>
  </si>
  <si>
    <t>周岁</t>
  </si>
  <si>
    <t>黄丽巧</t>
  </si>
  <si>
    <t>林涓涓</t>
  </si>
  <si>
    <t>晏文静</t>
  </si>
  <si>
    <t>郑若青</t>
  </si>
  <si>
    <t>符婷婷</t>
  </si>
  <si>
    <t>李锦萱</t>
  </si>
  <si>
    <t>邱奎倩</t>
  </si>
  <si>
    <t>符式</t>
  </si>
  <si>
    <t>沈宪茹</t>
  </si>
  <si>
    <t>梁雨莹</t>
  </si>
  <si>
    <t>宋歌</t>
  </si>
  <si>
    <t>游李</t>
  </si>
  <si>
    <t>郭玥</t>
  </si>
  <si>
    <t>安文裕</t>
  </si>
  <si>
    <t>代益善</t>
  </si>
  <si>
    <t>左林惠</t>
  </si>
  <si>
    <t>李雨婷</t>
  </si>
  <si>
    <t>羊义豪</t>
  </si>
  <si>
    <t>陈仕俊</t>
  </si>
  <si>
    <t>王依茹</t>
  </si>
  <si>
    <t>陈思霖</t>
  </si>
  <si>
    <t>严琳</t>
  </si>
  <si>
    <t>向文文</t>
  </si>
  <si>
    <t>曹欣然</t>
  </si>
  <si>
    <t>刘妹香</t>
  </si>
  <si>
    <t>伍玉妃</t>
  </si>
  <si>
    <t>秦浩洋</t>
  </si>
  <si>
    <t>符文静</t>
  </si>
  <si>
    <t>邢维娜</t>
  </si>
  <si>
    <t>刘奇龙</t>
  </si>
  <si>
    <t>曲思熠</t>
  </si>
  <si>
    <t>杨琳琳</t>
  </si>
  <si>
    <t>蔡卓邑</t>
  </si>
  <si>
    <t>张向齐</t>
  </si>
  <si>
    <t>吴娇燕</t>
  </si>
  <si>
    <t>张亚鑫</t>
  </si>
  <si>
    <t>陈丽君</t>
  </si>
  <si>
    <t>孙诗璇</t>
  </si>
  <si>
    <t>丁崇</t>
  </si>
  <si>
    <t>符炳位</t>
  </si>
  <si>
    <t>林良妹</t>
  </si>
  <si>
    <t>王诗俊</t>
  </si>
  <si>
    <t>顾梦怡</t>
  </si>
  <si>
    <t>汤灿</t>
  </si>
  <si>
    <t>熊晓颖</t>
  </si>
  <si>
    <t>房婧怡</t>
  </si>
  <si>
    <t>卓吉琼</t>
  </si>
  <si>
    <t>温秀娜</t>
  </si>
  <si>
    <t>李嘉杨</t>
  </si>
  <si>
    <t>杨凤</t>
  </si>
  <si>
    <t>李柔仙</t>
  </si>
  <si>
    <t>王敬媛</t>
  </si>
  <si>
    <t>陆娟</t>
  </si>
  <si>
    <t>周克山</t>
  </si>
  <si>
    <t>刘微</t>
  </si>
  <si>
    <t>王文敏</t>
  </si>
  <si>
    <t>李登婷</t>
  </si>
  <si>
    <t>陈学诗</t>
  </si>
  <si>
    <t>周千双</t>
  </si>
  <si>
    <t>贺洁</t>
  </si>
  <si>
    <t>陈琼瑛</t>
  </si>
  <si>
    <t>陈发玲</t>
  </si>
  <si>
    <t>赵昊辰</t>
  </si>
  <si>
    <t>王爱桃</t>
  </si>
  <si>
    <t>何桂零</t>
  </si>
  <si>
    <t>王佳</t>
  </si>
  <si>
    <t>吴佳瑶</t>
  </si>
  <si>
    <t>郭佳祺</t>
  </si>
  <si>
    <t>洪欣欣</t>
  </si>
  <si>
    <t>杨志宇</t>
  </si>
  <si>
    <t>黄嘉欣</t>
  </si>
  <si>
    <t>黄嘉玲</t>
  </si>
  <si>
    <t>符涵悦</t>
  </si>
  <si>
    <t>史苓希</t>
  </si>
  <si>
    <t>王歆菲</t>
  </si>
  <si>
    <t>许莉</t>
  </si>
  <si>
    <t>李鸣巍</t>
  </si>
  <si>
    <t>文彪彪</t>
  </si>
  <si>
    <t>林星利</t>
  </si>
  <si>
    <t>廖锦</t>
  </si>
  <si>
    <t>陈霖</t>
  </si>
  <si>
    <t>闫子怡</t>
  </si>
  <si>
    <t>李佳欣</t>
  </si>
  <si>
    <t>刘娅兰</t>
  </si>
  <si>
    <t>剪莉华</t>
  </si>
  <si>
    <t>梁诗怡</t>
  </si>
  <si>
    <t>符传代</t>
  </si>
  <si>
    <t>安雪松</t>
  </si>
  <si>
    <t>陈婕</t>
  </si>
  <si>
    <t>林乙苏</t>
  </si>
  <si>
    <t>黄斯敏</t>
  </si>
  <si>
    <t>杜宴萱</t>
  </si>
  <si>
    <t>林乙彤</t>
  </si>
  <si>
    <t>李淑兰</t>
  </si>
  <si>
    <t>王宇</t>
  </si>
  <si>
    <t>徐彬彬</t>
  </si>
  <si>
    <t>麦蕙</t>
  </si>
  <si>
    <t>王晓曼</t>
  </si>
  <si>
    <t>严家祥</t>
  </si>
  <si>
    <t>符沙龙</t>
  </si>
  <si>
    <t>郑兆娜</t>
  </si>
  <si>
    <t>邓坤</t>
  </si>
  <si>
    <t>许秀敏</t>
  </si>
  <si>
    <t>郑紫匀</t>
  </si>
  <si>
    <t>陈春蕊</t>
  </si>
  <si>
    <t>李萌</t>
  </si>
  <si>
    <t>任建思</t>
  </si>
  <si>
    <t>周冰沁</t>
  </si>
  <si>
    <t>王文登</t>
  </si>
  <si>
    <t>许瑞铭</t>
  </si>
  <si>
    <t>符海川</t>
  </si>
  <si>
    <t>蔡恩典</t>
  </si>
  <si>
    <t>王紫怡</t>
  </si>
  <si>
    <t>杨兹庆</t>
  </si>
  <si>
    <t>李红霞</t>
  </si>
  <si>
    <t>廖小花</t>
  </si>
  <si>
    <t>高月彤</t>
  </si>
  <si>
    <t>108</t>
  </si>
  <si>
    <t>小学英语</t>
  </si>
  <si>
    <t>陈莉</t>
  </si>
  <si>
    <t>黄丽贤</t>
  </si>
  <si>
    <t>郑晓楚</t>
  </si>
  <si>
    <t>李滢</t>
  </si>
  <si>
    <t>刘惠玲</t>
  </si>
  <si>
    <t>万龙</t>
  </si>
  <si>
    <t>秦有晶</t>
  </si>
  <si>
    <t>林彩苹</t>
  </si>
  <si>
    <t>龙虹晓</t>
  </si>
  <si>
    <t>徐梦思</t>
  </si>
  <si>
    <t>陈伟妍</t>
  </si>
  <si>
    <t>林红香</t>
  </si>
  <si>
    <t>符锦桦</t>
  </si>
  <si>
    <t>周茹</t>
  </si>
  <si>
    <t>李艳萍</t>
  </si>
  <si>
    <t>吴月</t>
  </si>
  <si>
    <t>黄杏</t>
  </si>
  <si>
    <t>杨铭雪</t>
  </si>
  <si>
    <t>桂海蓉</t>
  </si>
  <si>
    <t>胡春香</t>
  </si>
  <si>
    <t>李林妹</t>
  </si>
  <si>
    <t>吉才映</t>
  </si>
  <si>
    <t>郑淑颖</t>
  </si>
  <si>
    <t>冯娇</t>
  </si>
  <si>
    <t>林青</t>
  </si>
  <si>
    <t>文小辣</t>
  </si>
  <si>
    <t>曾垂铧</t>
  </si>
  <si>
    <t>黄爱</t>
  </si>
  <si>
    <t>林美伽</t>
  </si>
  <si>
    <t>张映</t>
  </si>
  <si>
    <t>王婷</t>
  </si>
  <si>
    <t>王晓慧</t>
  </si>
  <si>
    <t>吉妹</t>
  </si>
  <si>
    <t>徐冠群</t>
  </si>
  <si>
    <t>李爱萍</t>
  </si>
  <si>
    <t>杨瑾</t>
  </si>
  <si>
    <t>秦基伟</t>
  </si>
  <si>
    <t>杜丽青</t>
  </si>
  <si>
    <t>胡慧芹</t>
  </si>
  <si>
    <t>文洁</t>
  </si>
  <si>
    <t>苏洁</t>
  </si>
  <si>
    <t>余晓梅</t>
  </si>
  <si>
    <t>陈志亮</t>
  </si>
  <si>
    <t>陈小小</t>
  </si>
  <si>
    <t>孙丽云</t>
  </si>
  <si>
    <t>钟海越</t>
  </si>
  <si>
    <t>王雅</t>
  </si>
  <si>
    <t>刘舒婕</t>
  </si>
  <si>
    <t>符日丽</t>
  </si>
  <si>
    <t>李舒燕</t>
  </si>
  <si>
    <t>王璐娜</t>
  </si>
  <si>
    <t>苗一卓</t>
  </si>
  <si>
    <t>韩瑞畴</t>
  </si>
  <si>
    <t>穆贵美</t>
  </si>
  <si>
    <t>崔静</t>
  </si>
  <si>
    <t>苏蕾</t>
  </si>
  <si>
    <t>陈晓雯</t>
  </si>
  <si>
    <t>赖欣怡</t>
  </si>
  <si>
    <t>郑黄瑜</t>
  </si>
  <si>
    <t>姜珊</t>
  </si>
  <si>
    <t>叶朝彤</t>
  </si>
  <si>
    <t>吴金</t>
  </si>
  <si>
    <t>杨菁菁</t>
  </si>
  <si>
    <t>严焕连</t>
  </si>
  <si>
    <t>黄盼玉</t>
  </si>
  <si>
    <t>李文翠</t>
  </si>
  <si>
    <t>龚婉晴</t>
  </si>
  <si>
    <t>张海妍</t>
  </si>
  <si>
    <t>符晓敏</t>
  </si>
  <si>
    <t>黎才翠</t>
  </si>
  <si>
    <t>李青青</t>
  </si>
  <si>
    <t>黄子倪</t>
  </si>
  <si>
    <t>王献娇</t>
  </si>
  <si>
    <t>王桂芳</t>
  </si>
  <si>
    <t>高雪浪</t>
  </si>
  <si>
    <t>王金玳</t>
  </si>
  <si>
    <t>吴海茴</t>
  </si>
  <si>
    <t>卢明蓉</t>
  </si>
  <si>
    <t>文茜茜</t>
  </si>
  <si>
    <t>黄美莎</t>
  </si>
  <si>
    <t>陈锦娥</t>
  </si>
  <si>
    <t>徐巧玲</t>
  </si>
  <si>
    <t>庄乔云</t>
  </si>
  <si>
    <t>陈三</t>
  </si>
  <si>
    <t>刘敏</t>
  </si>
  <si>
    <t>王妃</t>
  </si>
  <si>
    <t>梁丽蓉</t>
  </si>
  <si>
    <t>王海云</t>
  </si>
  <si>
    <t>关钰于</t>
  </si>
  <si>
    <t>黄雯婷</t>
  </si>
  <si>
    <t>许玉岚</t>
  </si>
  <si>
    <t>黄菲菲</t>
  </si>
  <si>
    <t>颜美媛</t>
  </si>
  <si>
    <t>李群</t>
  </si>
  <si>
    <t>叶紫洨</t>
  </si>
  <si>
    <t>黄丽萍</t>
  </si>
  <si>
    <t>周若冰</t>
  </si>
  <si>
    <t>符吉南</t>
  </si>
  <si>
    <t>黄影</t>
  </si>
  <si>
    <t>王媛</t>
  </si>
  <si>
    <t>王小月</t>
  </si>
  <si>
    <t>王乃婷</t>
  </si>
  <si>
    <t>王树珍</t>
  </si>
  <si>
    <t>符中予</t>
  </si>
  <si>
    <t>洪沁</t>
  </si>
  <si>
    <t>张建萍</t>
  </si>
  <si>
    <t>刘婷婷</t>
  </si>
  <si>
    <t>黄垂青</t>
  </si>
  <si>
    <t>黄杭</t>
  </si>
  <si>
    <t>王初霏</t>
  </si>
  <si>
    <t>田丽婷</t>
  </si>
  <si>
    <t>黄娇</t>
  </si>
  <si>
    <t>文椿</t>
  </si>
  <si>
    <t>覃丽花</t>
  </si>
  <si>
    <t>陈益竹</t>
  </si>
  <si>
    <t>马燕飞</t>
  </si>
  <si>
    <t>黄颖芳</t>
  </si>
  <si>
    <t>任星辰</t>
  </si>
  <si>
    <t>黎炳彤</t>
  </si>
  <si>
    <t>谢心怡</t>
  </si>
  <si>
    <t>符珠廷</t>
  </si>
  <si>
    <t>秦栏娟</t>
  </si>
  <si>
    <t>唐丽萍</t>
  </si>
  <si>
    <t>周雯</t>
  </si>
  <si>
    <t>陈菲</t>
  </si>
  <si>
    <t>邢雪喜</t>
  </si>
  <si>
    <t>高丽</t>
  </si>
  <si>
    <t>张梦姿</t>
  </si>
  <si>
    <t>王玥</t>
  </si>
  <si>
    <t>付林林</t>
  </si>
  <si>
    <t>叶嘉蔚</t>
  </si>
  <si>
    <t>符娴慧</t>
  </si>
  <si>
    <t>林先柔</t>
  </si>
  <si>
    <t>王羽</t>
  </si>
  <si>
    <t>孙盈</t>
  </si>
  <si>
    <t>马丹</t>
  </si>
  <si>
    <t>羊贤玉</t>
  </si>
  <si>
    <t>张晓旭</t>
  </si>
  <si>
    <t>魏星</t>
  </si>
  <si>
    <t>陈欣莹</t>
  </si>
  <si>
    <t>杨万星</t>
  </si>
  <si>
    <t>方莹</t>
  </si>
  <si>
    <t>林彩艳</t>
  </si>
  <si>
    <t>林春君</t>
  </si>
  <si>
    <t>符若平</t>
  </si>
  <si>
    <t>唐昌燕</t>
  </si>
  <si>
    <t>吴小平</t>
  </si>
  <si>
    <t>钱丽云</t>
  </si>
  <si>
    <t>麦蔚</t>
  </si>
  <si>
    <t>罗婵</t>
  </si>
  <si>
    <t>符芳美</t>
  </si>
  <si>
    <t>颜家慧</t>
  </si>
  <si>
    <t>邹素贞</t>
  </si>
  <si>
    <t>姚红蝶</t>
  </si>
  <si>
    <t>赵志霖</t>
  </si>
  <si>
    <t>王一蓓</t>
  </si>
  <si>
    <t>林露琴</t>
  </si>
  <si>
    <t>符莲花</t>
  </si>
  <si>
    <t>符春柳</t>
  </si>
  <si>
    <t>孙鸿婉</t>
  </si>
  <si>
    <t>张浩辉</t>
  </si>
  <si>
    <t>陈慧雯</t>
  </si>
  <si>
    <t>王素云</t>
  </si>
  <si>
    <t>吴多珍</t>
  </si>
  <si>
    <t>唐容</t>
  </si>
  <si>
    <t>朱小虹</t>
  </si>
  <si>
    <t>曾春美</t>
  </si>
  <si>
    <t>傅田雪</t>
  </si>
  <si>
    <t>钱玉婷</t>
  </si>
  <si>
    <t>洪燕梦</t>
  </si>
  <si>
    <t>陈姣姣</t>
  </si>
  <si>
    <t>张淑钰</t>
  </si>
  <si>
    <t>杨迪淇</t>
  </si>
  <si>
    <t>陈宇</t>
  </si>
  <si>
    <t>彭夏芳</t>
  </si>
  <si>
    <t>朱娇雪</t>
  </si>
  <si>
    <t>文小汝</t>
  </si>
  <si>
    <t>谭慧</t>
  </si>
  <si>
    <t>陈亚桂</t>
  </si>
  <si>
    <t>许立倩</t>
  </si>
  <si>
    <t>陈静萍</t>
  </si>
  <si>
    <t>王月莹</t>
  </si>
  <si>
    <t>曾秋香</t>
  </si>
  <si>
    <t>周丹丹</t>
  </si>
  <si>
    <t>吴亚珊</t>
  </si>
  <si>
    <t>韩絮</t>
  </si>
  <si>
    <t>刘晓婵</t>
  </si>
  <si>
    <t>张翠</t>
  </si>
  <si>
    <t>高芳琳</t>
  </si>
  <si>
    <t>肖馨琦</t>
  </si>
  <si>
    <t>苏玉媚</t>
  </si>
  <si>
    <t>符梅春</t>
  </si>
  <si>
    <t>陈啟婷</t>
  </si>
  <si>
    <t>罗文君</t>
  </si>
  <si>
    <t>高方馨</t>
  </si>
  <si>
    <t>王位双</t>
  </si>
  <si>
    <t>陈宝南</t>
  </si>
  <si>
    <t>韦代鹏</t>
  </si>
  <si>
    <t>许晶晶</t>
  </si>
  <si>
    <t>徐卉</t>
  </si>
  <si>
    <t>王妹福</t>
  </si>
  <si>
    <t>郭绍云</t>
  </si>
  <si>
    <t>陈妍柳</t>
  </si>
  <si>
    <t>符娉</t>
  </si>
  <si>
    <t>羊菊花</t>
  </si>
  <si>
    <t>洪南金</t>
  </si>
  <si>
    <t>徐丽丽</t>
  </si>
  <si>
    <t>吴丽梦</t>
  </si>
  <si>
    <t>温淑岚</t>
  </si>
  <si>
    <t>王小文</t>
  </si>
  <si>
    <t>陈璐瑶</t>
  </si>
  <si>
    <t>周子愉</t>
  </si>
  <si>
    <t>梁真芸</t>
  </si>
  <si>
    <t>李慧芳</t>
  </si>
  <si>
    <t>窦文璐</t>
  </si>
  <si>
    <t>王威</t>
  </si>
  <si>
    <t>肖虹</t>
  </si>
  <si>
    <t>张乐</t>
  </si>
  <si>
    <t>张芯苡</t>
  </si>
  <si>
    <t>周亿慧</t>
  </si>
  <si>
    <t>陈丹娱</t>
  </si>
  <si>
    <t>陈婷</t>
  </si>
  <si>
    <t>陈清云</t>
  </si>
  <si>
    <t>王苗</t>
  </si>
  <si>
    <t>林园园</t>
  </si>
  <si>
    <t>陆国欣</t>
  </si>
  <si>
    <t>林少述</t>
  </si>
  <si>
    <t>游喻洁</t>
  </si>
  <si>
    <t>翁娇丽</t>
  </si>
  <si>
    <t>郑斌云</t>
  </si>
  <si>
    <t>刘文娣</t>
  </si>
  <si>
    <t>毛萍</t>
  </si>
  <si>
    <t>陈秀荣</t>
  </si>
  <si>
    <t>周勤湘</t>
  </si>
  <si>
    <t>陈福双</t>
  </si>
  <si>
    <t>张欣悦</t>
  </si>
  <si>
    <t>王珊</t>
  </si>
  <si>
    <t>王雅婷</t>
  </si>
  <si>
    <t>孙雨</t>
  </si>
  <si>
    <t>苏丽芳</t>
  </si>
  <si>
    <t>唐祥姨</t>
  </si>
  <si>
    <t>黎健妃</t>
  </si>
  <si>
    <t>吴伊洁</t>
  </si>
  <si>
    <t>陈秋月</t>
  </si>
  <si>
    <t>叶秀如</t>
  </si>
  <si>
    <t>沈梓原</t>
  </si>
  <si>
    <t>张慧妹</t>
  </si>
  <si>
    <t>白宇静</t>
  </si>
  <si>
    <t>陈承玲</t>
  </si>
  <si>
    <t>蓝洁</t>
  </si>
  <si>
    <t>陆柳均</t>
  </si>
  <si>
    <t>杨才来</t>
  </si>
  <si>
    <t>黄紫</t>
  </si>
  <si>
    <t>潘晓波</t>
  </si>
  <si>
    <t>赵钰琳</t>
  </si>
  <si>
    <t>林凡莉</t>
  </si>
  <si>
    <t>苏亚选</t>
  </si>
  <si>
    <t>庞绡叶</t>
  </si>
  <si>
    <t>林大斯</t>
  </si>
  <si>
    <t>符彩莲</t>
  </si>
  <si>
    <t>吴华贵</t>
  </si>
  <si>
    <t>唐安琪</t>
  </si>
  <si>
    <t>吴诚悦</t>
  </si>
  <si>
    <t>陈慧妤</t>
  </si>
  <si>
    <t>洪妃</t>
  </si>
  <si>
    <t>符淑玉</t>
  </si>
  <si>
    <t>林开妍</t>
  </si>
  <si>
    <t>苏云珍</t>
  </si>
  <si>
    <t>莫其霞</t>
  </si>
  <si>
    <t>丁紫芯</t>
  </si>
  <si>
    <t>陈少珠</t>
  </si>
  <si>
    <t>陈文雅</t>
  </si>
  <si>
    <t>周敏俐</t>
  </si>
  <si>
    <t>符钰</t>
  </si>
  <si>
    <t>韩莹</t>
  </si>
  <si>
    <t>何青芸</t>
  </si>
  <si>
    <t>羊钰婷</t>
  </si>
  <si>
    <t>王震欢</t>
  </si>
  <si>
    <t>冯千真</t>
  </si>
  <si>
    <t>陈亚亲</t>
  </si>
  <si>
    <t>孙宇国</t>
  </si>
  <si>
    <t>穆倩倩</t>
  </si>
  <si>
    <t>张达娟</t>
  </si>
  <si>
    <t>吴剑玲</t>
  </si>
  <si>
    <t>吕婷</t>
  </si>
  <si>
    <t>郑小蓉</t>
  </si>
  <si>
    <t>李晶玲</t>
  </si>
  <si>
    <t>顾婷婷</t>
  </si>
  <si>
    <t>麦琼方</t>
  </si>
  <si>
    <t>刘才女</t>
  </si>
  <si>
    <t>黄萍</t>
  </si>
  <si>
    <t>何思雨</t>
  </si>
  <si>
    <t>柯茹</t>
  </si>
  <si>
    <t>李扬雯</t>
  </si>
  <si>
    <t>文雅</t>
  </si>
  <si>
    <t>陈焕敏</t>
  </si>
  <si>
    <t>黄美雅</t>
  </si>
  <si>
    <t>黄琴苑</t>
  </si>
  <si>
    <t>陈霖霞</t>
  </si>
  <si>
    <t>林晶晶</t>
  </si>
  <si>
    <t>黎日花</t>
  </si>
  <si>
    <t>黄小滨</t>
  </si>
  <si>
    <t>吴薇薇</t>
  </si>
  <si>
    <t>钟艳</t>
  </si>
  <si>
    <t>陈春潼</t>
  </si>
  <si>
    <t>吴多茂</t>
  </si>
  <si>
    <t>林椿丽</t>
  </si>
  <si>
    <t>陈瑜</t>
  </si>
  <si>
    <t>周诗诗</t>
  </si>
  <si>
    <t>王倩文</t>
  </si>
  <si>
    <t>符年丽</t>
  </si>
  <si>
    <t>李宗晓</t>
  </si>
  <si>
    <t>袁道萃</t>
  </si>
  <si>
    <t>林挺秀</t>
  </si>
  <si>
    <t>张璐</t>
  </si>
  <si>
    <t>潘国英</t>
  </si>
  <si>
    <t>许晓华</t>
  </si>
  <si>
    <t>林怡敏</t>
  </si>
  <si>
    <t>黎吉逢</t>
  </si>
  <si>
    <t>冯菁菁</t>
  </si>
  <si>
    <t>秦明娜</t>
  </si>
  <si>
    <t>蔡孙妹</t>
  </si>
  <si>
    <t>陈琪琪</t>
  </si>
  <si>
    <t>吴海玉</t>
  </si>
  <si>
    <t>麦忠娜</t>
  </si>
  <si>
    <t>杜才凤</t>
  </si>
  <si>
    <t>徐云</t>
  </si>
  <si>
    <t>羊美霞</t>
  </si>
  <si>
    <t>陈宇新</t>
  </si>
  <si>
    <t>蒋倩</t>
  </si>
  <si>
    <t>贝丹仪</t>
  </si>
  <si>
    <t>陈丽云</t>
  </si>
  <si>
    <t>张海玉</t>
  </si>
  <si>
    <t>汪鑫宏</t>
  </si>
  <si>
    <t>许弘姐</t>
  </si>
  <si>
    <t>吴婧</t>
  </si>
  <si>
    <t>叶江岚</t>
  </si>
  <si>
    <t>王杏桃</t>
  </si>
  <si>
    <t>杨阳</t>
  </si>
  <si>
    <t>翁小莉</t>
  </si>
  <si>
    <t>邢宝珊</t>
  </si>
  <si>
    <t>梁焕春</t>
  </si>
  <si>
    <t>林文英</t>
  </si>
  <si>
    <t>段雨薇</t>
  </si>
  <si>
    <t>邹思琦</t>
  </si>
  <si>
    <t>王晨阳</t>
  </si>
  <si>
    <t>王晨雨</t>
  </si>
  <si>
    <t>何那女</t>
  </si>
  <si>
    <t>夏琦</t>
  </si>
  <si>
    <t>陈方妹</t>
  </si>
  <si>
    <t>刘春琳</t>
  </si>
  <si>
    <t>黄俊莉</t>
  </si>
  <si>
    <t>麦瑶</t>
  </si>
  <si>
    <t>黄莉</t>
  </si>
  <si>
    <t>李文莹</t>
  </si>
  <si>
    <t>吴成川</t>
  </si>
  <si>
    <t>李嘉敏</t>
  </si>
  <si>
    <t>林季花</t>
  </si>
  <si>
    <t>周小琴</t>
  </si>
  <si>
    <t>姜姗姗</t>
  </si>
  <si>
    <t>王菁</t>
  </si>
  <si>
    <t>陈漾</t>
  </si>
  <si>
    <t>赵姜虹</t>
  </si>
  <si>
    <t>温艳菠</t>
  </si>
  <si>
    <t>黄莉津</t>
  </si>
  <si>
    <t>黄疆业</t>
  </si>
  <si>
    <t>曾德育</t>
  </si>
  <si>
    <t>廖敏</t>
  </si>
  <si>
    <t>宋方霞</t>
  </si>
  <si>
    <t>王文佳</t>
  </si>
  <si>
    <t>高乐淮</t>
  </si>
  <si>
    <t>王艺诺</t>
  </si>
  <si>
    <t>黄惠琳</t>
  </si>
  <si>
    <t>关仁曼</t>
  </si>
  <si>
    <t>方丽燕</t>
  </si>
  <si>
    <t>杨晓敏</t>
  </si>
  <si>
    <t>陈小莉</t>
  </si>
  <si>
    <t>冉桂艳</t>
  </si>
  <si>
    <t>张娜</t>
  </si>
  <si>
    <t>蔡玉钰</t>
  </si>
  <si>
    <t>王盼盼</t>
  </si>
  <si>
    <t>陈柳</t>
  </si>
  <si>
    <t>白婧慧</t>
  </si>
  <si>
    <t>王培婷</t>
  </si>
  <si>
    <t>郭雅曼</t>
  </si>
  <si>
    <t>王娜</t>
  </si>
  <si>
    <t>吴亭</t>
  </si>
  <si>
    <t>邓美玲</t>
  </si>
  <si>
    <t>符露谊</t>
  </si>
  <si>
    <t>林冰</t>
  </si>
  <si>
    <t>唐开睿</t>
  </si>
  <si>
    <t>陈晓</t>
  </si>
  <si>
    <t>程凤</t>
  </si>
  <si>
    <t>杨裕丽</t>
  </si>
  <si>
    <t>邝晓惠</t>
  </si>
  <si>
    <t>王引南</t>
  </si>
  <si>
    <t>周秀清</t>
  </si>
  <si>
    <t>张天宇</t>
  </si>
  <si>
    <t>邱春汝</t>
  </si>
  <si>
    <t>吴捷</t>
  </si>
  <si>
    <t>廖可欣</t>
  </si>
  <si>
    <t>符丹凤</t>
  </si>
  <si>
    <t>符晓丹</t>
  </si>
  <si>
    <t>陈会</t>
  </si>
  <si>
    <t>黄玉方</t>
  </si>
  <si>
    <t>唐孟诗</t>
  </si>
  <si>
    <t>孔凡龙</t>
  </si>
  <si>
    <t>郑琪永</t>
  </si>
  <si>
    <t>林彩梅</t>
  </si>
  <si>
    <t>黄章敏</t>
  </si>
  <si>
    <t>王雪连</t>
  </si>
  <si>
    <t>符国艳</t>
  </si>
  <si>
    <t>吴美霖</t>
  </si>
  <si>
    <t>张佳欣</t>
  </si>
  <si>
    <t>江颖</t>
  </si>
  <si>
    <t>王惠莹</t>
  </si>
  <si>
    <t>林慧欣</t>
  </si>
  <si>
    <t>黄舒婷</t>
  </si>
  <si>
    <t>羊维带</t>
  </si>
  <si>
    <t>李佩茜</t>
  </si>
  <si>
    <t>柳少敏</t>
  </si>
  <si>
    <t>李艳</t>
  </si>
  <si>
    <t>牛莹</t>
  </si>
  <si>
    <t>林丽</t>
  </si>
  <si>
    <t>彭佳玉</t>
  </si>
  <si>
    <t>邓贝思</t>
  </si>
  <si>
    <t>何声薇</t>
  </si>
  <si>
    <t>叶君宁</t>
  </si>
  <si>
    <t>林丽柔</t>
  </si>
  <si>
    <t>李明珠</t>
  </si>
  <si>
    <t>陈小妹</t>
  </si>
  <si>
    <t>吴金丹</t>
  </si>
  <si>
    <t>唐华蓉</t>
  </si>
  <si>
    <t>李宇晴</t>
  </si>
  <si>
    <t>宋文睿</t>
  </si>
  <si>
    <t>许丹婷</t>
  </si>
  <si>
    <t>肖梦远</t>
  </si>
  <si>
    <t>孙燕</t>
  </si>
  <si>
    <t>刘松</t>
  </si>
  <si>
    <t>马卓言</t>
  </si>
  <si>
    <t>孙嘉惠</t>
  </si>
  <si>
    <t>张睿</t>
  </si>
  <si>
    <t>邓玉梅</t>
  </si>
  <si>
    <t>庾璐</t>
  </si>
  <si>
    <t>李慧慧</t>
  </si>
  <si>
    <t>黄海慧</t>
  </si>
  <si>
    <t>蔡翠柳</t>
  </si>
  <si>
    <t>杨珍</t>
  </si>
  <si>
    <t>张慧茹</t>
  </si>
  <si>
    <t>易瑾瑶</t>
  </si>
  <si>
    <t>陈媚</t>
  </si>
  <si>
    <t>李娥</t>
  </si>
  <si>
    <t>云娜珍</t>
  </si>
  <si>
    <t>陈颖</t>
  </si>
  <si>
    <t>陈华爱</t>
  </si>
  <si>
    <t>陈日翠</t>
  </si>
  <si>
    <t>王娟</t>
  </si>
  <si>
    <t>陈美惠紫</t>
  </si>
  <si>
    <t>陈丽冰</t>
  </si>
  <si>
    <t>吉宝曼</t>
  </si>
  <si>
    <t>徐文玲</t>
  </si>
  <si>
    <t>张用龄</t>
  </si>
  <si>
    <t>林家乐</t>
  </si>
  <si>
    <t>郑晓雅</t>
  </si>
  <si>
    <t>李晓坤</t>
  </si>
  <si>
    <t>路璐</t>
  </si>
  <si>
    <t>许小连</t>
  </si>
  <si>
    <t>蔡诗琪</t>
  </si>
  <si>
    <t>倪爽</t>
  </si>
  <si>
    <t>罗欣</t>
  </si>
  <si>
    <t>唐娇</t>
  </si>
  <si>
    <t>夏丽丽</t>
  </si>
  <si>
    <t>朱小芩</t>
  </si>
  <si>
    <t>符思彤</t>
  </si>
  <si>
    <t>周欣玮</t>
  </si>
  <si>
    <t>杨明桦</t>
  </si>
  <si>
    <t>温伯婵</t>
  </si>
  <si>
    <t>邓美燕</t>
  </si>
  <si>
    <t>唐善鹏</t>
  </si>
  <si>
    <t>温小曼</t>
  </si>
  <si>
    <t>王蕾</t>
  </si>
  <si>
    <t>陈梦艺</t>
  </si>
  <si>
    <t>杨宁</t>
  </si>
  <si>
    <t>陈秀靓</t>
  </si>
  <si>
    <t>黄琦</t>
  </si>
  <si>
    <t>吴乾倩</t>
  </si>
  <si>
    <t>李诗静</t>
  </si>
  <si>
    <t>卫光翠</t>
  </si>
  <si>
    <t>倪叶婷</t>
  </si>
  <si>
    <t>王夏盈</t>
  </si>
  <si>
    <t>符燕丽</t>
  </si>
  <si>
    <t>吴钟莹</t>
  </si>
  <si>
    <t>许一凡</t>
  </si>
  <si>
    <t>林海妹</t>
  </si>
  <si>
    <t>陈南</t>
  </si>
  <si>
    <t>奚俊香</t>
  </si>
  <si>
    <t>陈雅</t>
  </si>
  <si>
    <t>韦温馨</t>
  </si>
  <si>
    <t>陈珊珊</t>
  </si>
  <si>
    <t>聂雪莉</t>
  </si>
  <si>
    <t>羊敏</t>
  </si>
  <si>
    <t>张宇蝶</t>
  </si>
  <si>
    <t>王柳</t>
  </si>
  <si>
    <t>林芳君</t>
  </si>
  <si>
    <t>张龙坪</t>
  </si>
  <si>
    <t>陈柳媚</t>
  </si>
  <si>
    <t>宋宇扬</t>
  </si>
  <si>
    <t>王瑶青</t>
  </si>
  <si>
    <t>张婷</t>
  </si>
  <si>
    <t>叶蕾</t>
  </si>
  <si>
    <t>吴福春</t>
  </si>
  <si>
    <t>陈少娥</t>
  </si>
  <si>
    <t>孙忠慧</t>
  </si>
  <si>
    <t>詹子妮</t>
  </si>
  <si>
    <t>吴舒雅</t>
  </si>
  <si>
    <t>张秀洁</t>
  </si>
  <si>
    <t>黄子殷</t>
  </si>
  <si>
    <t>黄少茹</t>
  </si>
  <si>
    <t>唐海红</t>
  </si>
  <si>
    <t>符秀迪</t>
  </si>
  <si>
    <t>符倩雪</t>
  </si>
  <si>
    <t>陈艺婷</t>
  </si>
  <si>
    <t>金婉馨</t>
  </si>
  <si>
    <t>杨雅如</t>
  </si>
  <si>
    <t>吴乔敏</t>
  </si>
  <si>
    <t>曾初月</t>
  </si>
  <si>
    <t>吴奇英</t>
  </si>
  <si>
    <t>何旺灵</t>
  </si>
  <si>
    <t>冼金宝</t>
  </si>
  <si>
    <t>王康慧</t>
  </si>
  <si>
    <t>林宏艳</t>
  </si>
  <si>
    <t>肖雅丽</t>
  </si>
  <si>
    <t>林师</t>
  </si>
  <si>
    <t>蒋小介</t>
  </si>
  <si>
    <t>王小妮</t>
  </si>
  <si>
    <t>黄柳艳</t>
  </si>
  <si>
    <t>姚甸冰</t>
  </si>
  <si>
    <t>黄琼哗</t>
  </si>
  <si>
    <t>吴诗</t>
  </si>
  <si>
    <t>王丹婷</t>
  </si>
  <si>
    <t>李雪</t>
  </si>
  <si>
    <t>郑文雅</t>
  </si>
  <si>
    <t>辛贻熳</t>
  </si>
  <si>
    <t>潘婉怡</t>
  </si>
  <si>
    <t>张莹</t>
  </si>
  <si>
    <t>许春晓</t>
  </si>
  <si>
    <t>王吉芳</t>
  </si>
  <si>
    <t>占薇薇</t>
  </si>
  <si>
    <t>文著</t>
  </si>
  <si>
    <t>陈子怡</t>
  </si>
  <si>
    <t>陈玉莹</t>
  </si>
  <si>
    <t>詹玉川</t>
  </si>
  <si>
    <t>林静</t>
  </si>
  <si>
    <t>邢诗贞</t>
  </si>
  <si>
    <t>毛国俱</t>
  </si>
  <si>
    <t>冯小翠</t>
  </si>
  <si>
    <t>李舒鹭</t>
  </si>
  <si>
    <t>黄晓萱</t>
  </si>
  <si>
    <t>莫春燕</t>
  </si>
  <si>
    <t>钟昌新</t>
  </si>
  <si>
    <t>王琦璐</t>
  </si>
  <si>
    <t>吴素梅</t>
  </si>
  <si>
    <t>吕冬梅</t>
  </si>
  <si>
    <t>林诗雅</t>
  </si>
  <si>
    <t>吴静姣</t>
  </si>
  <si>
    <t>薛玲玲</t>
  </si>
  <si>
    <t>陈承浪</t>
  </si>
  <si>
    <t>陈益蓉</t>
  </si>
  <si>
    <t>张鼎飞</t>
  </si>
  <si>
    <t>王雪胶</t>
  </si>
  <si>
    <t>韦小恋</t>
  </si>
  <si>
    <t>陈专柏</t>
  </si>
  <si>
    <t>符婧雯</t>
  </si>
  <si>
    <t>陈兵兵</t>
  </si>
  <si>
    <t>吴贻娇</t>
  </si>
  <si>
    <t>王燕</t>
  </si>
  <si>
    <t>符晨</t>
  </si>
  <si>
    <t>王召茜</t>
  </si>
  <si>
    <t>张小玉</t>
  </si>
  <si>
    <t>王心怡</t>
  </si>
  <si>
    <t>王琦</t>
  </si>
  <si>
    <t>翁一文</t>
  </si>
  <si>
    <t>李梅金</t>
  </si>
  <si>
    <t>文婧</t>
  </si>
  <si>
    <t>丁梦珍</t>
  </si>
  <si>
    <t>何柳女</t>
  </si>
  <si>
    <t>曾子茵</t>
  </si>
  <si>
    <t>林珊珊</t>
  </si>
  <si>
    <t>邱天丽</t>
  </si>
  <si>
    <t>郭玉芬</t>
  </si>
  <si>
    <t>符慧琴</t>
  </si>
  <si>
    <t>崔佳琦</t>
  </si>
  <si>
    <t>曾小瑶</t>
  </si>
  <si>
    <t>李婷梅</t>
  </si>
  <si>
    <t>陈秋如</t>
  </si>
  <si>
    <t>林井婷</t>
  </si>
  <si>
    <t>李暖</t>
  </si>
  <si>
    <t>隋曼媛</t>
  </si>
  <si>
    <t>符成丹</t>
  </si>
  <si>
    <t>郑惠香</t>
  </si>
  <si>
    <t>朱厚霞</t>
  </si>
  <si>
    <t>何文婧</t>
  </si>
  <si>
    <t>许婕</t>
  </si>
  <si>
    <t>段丽芳</t>
  </si>
  <si>
    <t>文艺燕</t>
  </si>
  <si>
    <t>郑维柳</t>
  </si>
  <si>
    <t>许多标</t>
  </si>
  <si>
    <t>吕菲</t>
  </si>
  <si>
    <t>桂小孟</t>
  </si>
  <si>
    <t>李引妃</t>
  </si>
  <si>
    <t>王紫</t>
  </si>
  <si>
    <t>陈维璠</t>
  </si>
  <si>
    <t>陈嘉欣</t>
  </si>
  <si>
    <t>陈贺</t>
  </si>
  <si>
    <t>李小娟</t>
  </si>
  <si>
    <t>杨欣</t>
  </si>
  <si>
    <t>龙君</t>
  </si>
  <si>
    <t>冯琳琬</t>
  </si>
  <si>
    <t>林玲屹</t>
  </si>
  <si>
    <t>符一琨</t>
  </si>
  <si>
    <t>唐海婷</t>
  </si>
  <si>
    <t>吴贺南</t>
  </si>
  <si>
    <t>陈心烨</t>
  </si>
  <si>
    <t>王索亚</t>
  </si>
  <si>
    <t>陈旭</t>
  </si>
  <si>
    <t>林潼</t>
  </si>
  <si>
    <t>冼忠英</t>
  </si>
  <si>
    <t>李斯婷</t>
  </si>
  <si>
    <t>王其珍</t>
  </si>
  <si>
    <t>王芳妹</t>
  </si>
  <si>
    <t>王丹</t>
  </si>
  <si>
    <t>徐志萍</t>
  </si>
  <si>
    <t>吴环琴</t>
  </si>
  <si>
    <t>黄琮嵛</t>
  </si>
  <si>
    <t>蒙杨群</t>
  </si>
  <si>
    <t>陈亚柳</t>
  </si>
  <si>
    <t>王蔚</t>
  </si>
  <si>
    <t>王佳琪</t>
  </si>
  <si>
    <t>符颖颖</t>
  </si>
  <si>
    <t xml:space="preserve">王海玲 </t>
  </si>
  <si>
    <t>邱庆烨</t>
  </si>
  <si>
    <t>吴小婷</t>
  </si>
  <si>
    <t>欧兰贞</t>
  </si>
  <si>
    <t>张桂妹</t>
  </si>
  <si>
    <t>李梦媛</t>
  </si>
  <si>
    <t>潘琳</t>
  </si>
  <si>
    <t>邢维滢</t>
  </si>
  <si>
    <t>胡茂珊</t>
  </si>
  <si>
    <t>曾紫</t>
  </si>
  <si>
    <t>郑梅娃</t>
  </si>
  <si>
    <t>符娟蝶</t>
  </si>
  <si>
    <t>王婵</t>
  </si>
  <si>
    <t>吴振颖</t>
  </si>
  <si>
    <t>朱芳瑶</t>
  </si>
  <si>
    <t>徐思凌</t>
  </si>
  <si>
    <t>邢海密</t>
  </si>
  <si>
    <t>罗雪萍</t>
  </si>
  <si>
    <t>马丽萍</t>
  </si>
  <si>
    <t>林兰珍</t>
  </si>
  <si>
    <t>吴彦梅</t>
  </si>
  <si>
    <t>高小倩</t>
  </si>
  <si>
    <t>颜海娜</t>
  </si>
  <si>
    <t>李虹</t>
  </si>
  <si>
    <t>蔡汝娜</t>
  </si>
  <si>
    <t>翁咪咪</t>
  </si>
  <si>
    <t>王英秀</t>
  </si>
  <si>
    <t>王小春</t>
  </si>
  <si>
    <t>辛小芳</t>
  </si>
  <si>
    <t>文寒欢</t>
  </si>
  <si>
    <t>陈安祺</t>
  </si>
  <si>
    <t>李佳凌</t>
  </si>
  <si>
    <t>吴祥司</t>
  </si>
  <si>
    <t>覃荣艳</t>
  </si>
  <si>
    <t>黎彩柳</t>
  </si>
  <si>
    <t>邝琼容</t>
  </si>
  <si>
    <t>徐亚丽</t>
  </si>
  <si>
    <t>黄祖贤</t>
  </si>
  <si>
    <t>沈彩梦</t>
  </si>
  <si>
    <t>谢媛媛</t>
  </si>
  <si>
    <t>陈期虹</t>
  </si>
  <si>
    <t>游宁茜</t>
  </si>
  <si>
    <t>周柔雪</t>
  </si>
  <si>
    <t>纪梦娇</t>
  </si>
  <si>
    <t>王韵怡</t>
  </si>
  <si>
    <t>羊静静</t>
  </si>
  <si>
    <t>吉茹茹</t>
  </si>
  <si>
    <t>洪亚伦</t>
  </si>
  <si>
    <t>蔡冰冰</t>
  </si>
  <si>
    <t>吴敏艳</t>
  </si>
  <si>
    <t>王惠玲</t>
  </si>
  <si>
    <t>汤表叶</t>
  </si>
  <si>
    <t>谭冬婷</t>
  </si>
  <si>
    <t>张毕</t>
  </si>
  <si>
    <t>孙宇</t>
  </si>
  <si>
    <t>谢雅芳</t>
  </si>
  <si>
    <t>黄秋瑜</t>
  </si>
  <si>
    <t>陈成妹</t>
  </si>
  <si>
    <t>陈明花</t>
  </si>
  <si>
    <t>符丰洁</t>
  </si>
  <si>
    <t>刘含月</t>
  </si>
  <si>
    <t>李文婷</t>
  </si>
  <si>
    <t>王青</t>
  </si>
  <si>
    <t>林道娥</t>
  </si>
  <si>
    <t>陈秀玲</t>
  </si>
  <si>
    <t>符霜豪</t>
  </si>
  <si>
    <t>张欣怡</t>
  </si>
  <si>
    <t>吉美燕</t>
  </si>
  <si>
    <t>周海凤</t>
  </si>
  <si>
    <t>陈昭颖</t>
  </si>
  <si>
    <t>王泓</t>
  </si>
  <si>
    <t>冯海燕</t>
  </si>
  <si>
    <t>李小静</t>
  </si>
  <si>
    <t>王堂棉</t>
  </si>
  <si>
    <t>肖惠</t>
  </si>
  <si>
    <t>韦小娜</t>
  </si>
  <si>
    <t>谢焕云</t>
  </si>
  <si>
    <t>黄思思</t>
  </si>
  <si>
    <t>何希泓</t>
  </si>
  <si>
    <t>林株朱</t>
  </si>
  <si>
    <t>高克珍</t>
  </si>
  <si>
    <t>何鑫雨</t>
  </si>
  <si>
    <t>冯晶晶</t>
  </si>
  <si>
    <t>云雅楠</t>
  </si>
  <si>
    <t>叶谨瑄</t>
  </si>
  <si>
    <t>何培嘉</t>
  </si>
  <si>
    <t>付利平</t>
  </si>
  <si>
    <t>杨艳</t>
  </si>
  <si>
    <t>曾蕙</t>
  </si>
  <si>
    <t>王煜茜</t>
  </si>
  <si>
    <t>吴金琼</t>
  </si>
  <si>
    <t>叶紫妍</t>
  </si>
  <si>
    <t>梁靖怡</t>
  </si>
  <si>
    <t>张飔焱</t>
  </si>
  <si>
    <t>吴心雅</t>
  </si>
  <si>
    <t>王选南</t>
  </si>
  <si>
    <t>陈海芳</t>
  </si>
  <si>
    <t>王英</t>
  </si>
  <si>
    <t>陈春花</t>
  </si>
  <si>
    <t>杨梦</t>
  </si>
  <si>
    <t>吴瑜</t>
  </si>
  <si>
    <t>郭晶晶</t>
  </si>
  <si>
    <t>陈航</t>
  </si>
  <si>
    <t>林欣然</t>
  </si>
  <si>
    <t>符家芳</t>
  </si>
  <si>
    <t>韦晓丹</t>
  </si>
  <si>
    <t>钟小晶</t>
  </si>
  <si>
    <t>陈锐雪</t>
  </si>
  <si>
    <t>胡蝶</t>
  </si>
  <si>
    <t>莫翠影</t>
  </si>
  <si>
    <t>黄汇汇</t>
  </si>
  <si>
    <t>梁康倩</t>
  </si>
  <si>
    <t>符晓琳</t>
  </si>
  <si>
    <t>林馨</t>
  </si>
  <si>
    <t>谢欣</t>
  </si>
  <si>
    <t>张梦琦</t>
  </si>
  <si>
    <t>王桂平</t>
  </si>
  <si>
    <t>张琳琳</t>
  </si>
  <si>
    <t>孙维奇</t>
  </si>
  <si>
    <t>王婧静</t>
  </si>
  <si>
    <t>符永舰</t>
  </si>
  <si>
    <t>张小慧</t>
  </si>
  <si>
    <t>林丹丹</t>
  </si>
  <si>
    <t>王婷婷</t>
  </si>
  <si>
    <t>杨平碗</t>
  </si>
  <si>
    <t>张巧巧</t>
  </si>
  <si>
    <t>陈欣雨</t>
  </si>
  <si>
    <t>唐瑜</t>
  </si>
  <si>
    <t>郑孝芬</t>
  </si>
  <si>
    <t>庄煌丹</t>
  </si>
  <si>
    <t>魏婷婷</t>
  </si>
  <si>
    <t>梁逸娴</t>
  </si>
  <si>
    <t>李祥权</t>
  </si>
  <si>
    <t>符博秀</t>
  </si>
  <si>
    <t>何潮潮</t>
  </si>
  <si>
    <t>刘晓萌</t>
  </si>
  <si>
    <t>胡婴儿</t>
  </si>
  <si>
    <t>尹小倩</t>
  </si>
  <si>
    <t>章鑫婧</t>
  </si>
  <si>
    <t>唐海丹</t>
  </si>
  <si>
    <t>谢昕然</t>
  </si>
  <si>
    <t>邢丹婷</t>
  </si>
  <si>
    <t>丁裕丹</t>
  </si>
  <si>
    <t>陈虹姗</t>
  </si>
  <si>
    <t>何雯靓</t>
  </si>
  <si>
    <t>陈薇薇</t>
  </si>
  <si>
    <t>黄向</t>
  </si>
  <si>
    <t>吴丽佳</t>
  </si>
  <si>
    <t>甘小碧</t>
  </si>
  <si>
    <t>谢荟敏</t>
  </si>
  <si>
    <t>黄雪绮</t>
  </si>
  <si>
    <t>黎倩</t>
  </si>
  <si>
    <t>吴宏美</t>
  </si>
  <si>
    <t>陈靖伦</t>
  </si>
  <si>
    <t>丰华欣</t>
  </si>
  <si>
    <t>胡志芹</t>
  </si>
  <si>
    <t>王雪</t>
  </si>
  <si>
    <t>王江莲</t>
  </si>
  <si>
    <t>文妃容</t>
  </si>
  <si>
    <t>崔琬楠</t>
  </si>
  <si>
    <t>陈佳</t>
  </si>
  <si>
    <t>王家麒</t>
  </si>
  <si>
    <t>梁婆姑</t>
  </si>
  <si>
    <t>范秋萍</t>
  </si>
  <si>
    <t>杜潇箫</t>
  </si>
  <si>
    <t>陈桂南</t>
  </si>
  <si>
    <t>殷礼惠</t>
  </si>
  <si>
    <t>庞冠卿</t>
  </si>
  <si>
    <t>陈文娟</t>
  </si>
  <si>
    <t>钟仙萱</t>
  </si>
  <si>
    <t>黎姑</t>
  </si>
  <si>
    <t>符月柳</t>
  </si>
  <si>
    <t>蒋红莲</t>
  </si>
  <si>
    <t>林海梅</t>
  </si>
  <si>
    <t>苏温馨</t>
  </si>
  <si>
    <t>蔡逸霖</t>
  </si>
  <si>
    <t>张志壹</t>
  </si>
  <si>
    <t>陈雅君</t>
  </si>
  <si>
    <t>王莲花</t>
  </si>
  <si>
    <t>符妙善</t>
  </si>
  <si>
    <t>吴娜</t>
  </si>
  <si>
    <t>陈娟娟</t>
  </si>
  <si>
    <t>文惠飞</t>
  </si>
  <si>
    <t>吴季娟</t>
  </si>
  <si>
    <t>卢静怡</t>
  </si>
  <si>
    <t>尤琪琪</t>
  </si>
  <si>
    <t>符梦菲</t>
  </si>
  <si>
    <t>陈玲</t>
  </si>
  <si>
    <t>宋雪芬</t>
  </si>
  <si>
    <t>陈琼虹</t>
  </si>
  <si>
    <t>符桢</t>
  </si>
  <si>
    <t>吴春转</t>
  </si>
  <si>
    <t>蒋珏</t>
  </si>
  <si>
    <t>郭小艺</t>
  </si>
  <si>
    <t>王绥薇</t>
  </si>
  <si>
    <t>韩慧萍</t>
  </si>
  <si>
    <t>羊琋瑜</t>
  </si>
  <si>
    <t>郭惠莲</t>
  </si>
  <si>
    <t>汤雯怡</t>
  </si>
  <si>
    <t>陈晓梦</t>
  </si>
  <si>
    <t>方清</t>
  </si>
  <si>
    <t>吕敏</t>
  </si>
  <si>
    <t>赵娟</t>
  </si>
  <si>
    <t>郑梦婷</t>
  </si>
  <si>
    <t>石欢</t>
  </si>
  <si>
    <t>陈思琪</t>
  </si>
  <si>
    <t>蔡佳秀</t>
  </si>
  <si>
    <t>林小娇</t>
  </si>
  <si>
    <t>钟云秋</t>
  </si>
  <si>
    <t>何怡萍</t>
  </si>
  <si>
    <t>关远灵</t>
  </si>
  <si>
    <t>马晓丽</t>
  </si>
  <si>
    <t>张江溢</t>
  </si>
  <si>
    <t>林惠妹</t>
  </si>
  <si>
    <t>刘可</t>
  </si>
  <si>
    <t>阮冠冰</t>
  </si>
  <si>
    <t>黄文倩</t>
  </si>
  <si>
    <t>郑丕俏</t>
  </si>
  <si>
    <t>徐小淼</t>
  </si>
  <si>
    <t>王红</t>
  </si>
  <si>
    <t>黎寒华</t>
  </si>
  <si>
    <t>李雨娜</t>
  </si>
  <si>
    <t>林雪莹</t>
  </si>
  <si>
    <t>李媛媛</t>
  </si>
  <si>
    <t>段艳华</t>
  </si>
  <si>
    <t>李佳</t>
  </si>
  <si>
    <t>简雨静</t>
  </si>
  <si>
    <t>孙娜娜</t>
  </si>
  <si>
    <t>徐小颜</t>
  </si>
  <si>
    <t>杨钰琦</t>
  </si>
  <si>
    <t>林升首</t>
  </si>
  <si>
    <t>沈金凤</t>
  </si>
  <si>
    <t>谢丽雯</t>
  </si>
  <si>
    <t>吴泥漫</t>
  </si>
  <si>
    <t>麦志欢</t>
  </si>
  <si>
    <t>符梅霞</t>
  </si>
  <si>
    <t>曹丹玲</t>
  </si>
  <si>
    <t>肖婷婷</t>
  </si>
  <si>
    <t>秦子娴</t>
  </si>
  <si>
    <t>王和驰</t>
  </si>
  <si>
    <t>李新艳</t>
  </si>
  <si>
    <t>许婷婷</t>
  </si>
  <si>
    <t>陈青联</t>
  </si>
  <si>
    <t>邓敏伶</t>
  </si>
  <si>
    <t>蔡美彩</t>
  </si>
  <si>
    <t>罗盛妹</t>
  </si>
  <si>
    <t>郑海燕</t>
  </si>
  <si>
    <t>符菁雅</t>
  </si>
  <si>
    <t>陈秋花</t>
  </si>
  <si>
    <t>蒙小妹</t>
  </si>
  <si>
    <t>周艳</t>
  </si>
  <si>
    <t>张露之</t>
  </si>
  <si>
    <t>李苇庭</t>
  </si>
  <si>
    <t>黄珊珊</t>
  </si>
  <si>
    <t>曾晓敏</t>
  </si>
  <si>
    <t>王美姿</t>
  </si>
  <si>
    <t>周虹延</t>
  </si>
  <si>
    <t>邹春妮</t>
  </si>
  <si>
    <t>林倩倩</t>
  </si>
  <si>
    <t>张艺凡</t>
  </si>
  <si>
    <t>吴清周</t>
  </si>
  <si>
    <t>杨宗秀</t>
  </si>
  <si>
    <t>宋轲莉</t>
  </si>
  <si>
    <t>刘南妃</t>
  </si>
  <si>
    <t>张楠</t>
  </si>
  <si>
    <t>吴小燕</t>
  </si>
  <si>
    <t>胡玲</t>
  </si>
  <si>
    <t>王小雨</t>
  </si>
  <si>
    <t>吴李莲</t>
  </si>
  <si>
    <t>周书凝</t>
  </si>
  <si>
    <t>张婕妤</t>
  </si>
  <si>
    <t>郝擎宇</t>
  </si>
  <si>
    <t>吴玉霞</t>
  </si>
  <si>
    <t>林心怡</t>
  </si>
  <si>
    <t>刘娟娟</t>
  </si>
  <si>
    <t>温秋怡</t>
  </si>
  <si>
    <t>李紫云</t>
  </si>
  <si>
    <t>刘裕花</t>
  </si>
  <si>
    <t>符方虹</t>
  </si>
  <si>
    <t>陈竹兰</t>
  </si>
  <si>
    <t>吴为川</t>
  </si>
  <si>
    <t>张可心</t>
  </si>
  <si>
    <t>陈有宇</t>
  </si>
  <si>
    <t>文娟</t>
  </si>
  <si>
    <t>严玉婷</t>
  </si>
  <si>
    <t>江雪玉</t>
  </si>
  <si>
    <t>刘智涵</t>
  </si>
  <si>
    <t>王小虹</t>
  </si>
  <si>
    <t>曾凡奚</t>
  </si>
  <si>
    <t>韦乐</t>
  </si>
  <si>
    <t>羊引花</t>
  </si>
  <si>
    <t>韩燕冰</t>
  </si>
  <si>
    <t>陈天君</t>
  </si>
  <si>
    <t>梁柳</t>
  </si>
  <si>
    <t>谢彬彬</t>
  </si>
  <si>
    <t>吴丹妮</t>
  </si>
  <si>
    <t>黄群</t>
  </si>
  <si>
    <t>白杨</t>
  </si>
  <si>
    <t>陈诗怡</t>
  </si>
  <si>
    <t>文汐</t>
  </si>
  <si>
    <t>何昕</t>
  </si>
  <si>
    <t>韦娜</t>
  </si>
  <si>
    <t>曾田恬</t>
  </si>
  <si>
    <t>曾载益</t>
  </si>
  <si>
    <t>何娇</t>
  </si>
  <si>
    <t>谢子儒</t>
  </si>
  <si>
    <t>何婷</t>
  </si>
  <si>
    <t>张琴寅</t>
  </si>
  <si>
    <t>何晶晶</t>
  </si>
  <si>
    <t>张毅</t>
  </si>
  <si>
    <t>陈吉玲</t>
  </si>
  <si>
    <t>潘小果</t>
  </si>
  <si>
    <t>符喜乾</t>
  </si>
  <si>
    <t>杨秀芳</t>
  </si>
  <si>
    <t>邢南</t>
  </si>
  <si>
    <t>慕李梅</t>
  </si>
  <si>
    <t>赵欣悦</t>
  </si>
  <si>
    <t>陈秋庆</t>
  </si>
  <si>
    <t>魏小雨</t>
  </si>
  <si>
    <t>陈彩虹</t>
  </si>
  <si>
    <t>赖慧东</t>
  </si>
  <si>
    <t>王春琴</t>
  </si>
  <si>
    <t>蔡景霞</t>
  </si>
  <si>
    <t>洪桂蓉</t>
  </si>
  <si>
    <t>蔡瑶池</t>
  </si>
  <si>
    <t>王环樱</t>
  </si>
  <si>
    <t>李丽君</t>
  </si>
  <si>
    <t>陈萌</t>
  </si>
  <si>
    <t>杨笛</t>
  </si>
  <si>
    <t>陈玉菁</t>
  </si>
  <si>
    <t>林晓瑜</t>
  </si>
  <si>
    <t>夏学婷</t>
  </si>
  <si>
    <t>林壹茹</t>
  </si>
  <si>
    <t>陈榆</t>
  </si>
  <si>
    <t>韦素菲</t>
  </si>
  <si>
    <t>魏蕾</t>
  </si>
  <si>
    <t>何丽芳</t>
  </si>
  <si>
    <t>莫春梅</t>
  </si>
  <si>
    <t>钟朝云</t>
  </si>
  <si>
    <t>罗秋雨</t>
  </si>
  <si>
    <t>邓永馨</t>
  </si>
  <si>
    <t>陈福慧</t>
  </si>
  <si>
    <t>吴淑媚</t>
  </si>
  <si>
    <t>赵思敏</t>
  </si>
  <si>
    <t>林志君</t>
  </si>
  <si>
    <t>蒙建桦</t>
  </si>
  <si>
    <t>王子娟</t>
  </si>
  <si>
    <t>蔡英南</t>
  </si>
  <si>
    <t>范译匀</t>
  </si>
  <si>
    <t>朱强</t>
  </si>
  <si>
    <t>陈雪琳</t>
  </si>
  <si>
    <t>王惠</t>
  </si>
  <si>
    <t>吴姝漫</t>
  </si>
  <si>
    <t>王璐</t>
  </si>
  <si>
    <t>郑岚尹</t>
  </si>
  <si>
    <t>蒙超莹</t>
  </si>
  <si>
    <t>江佩珊</t>
  </si>
  <si>
    <t>唐艺</t>
  </si>
  <si>
    <t>谭雅丽</t>
  </si>
  <si>
    <t>姚党</t>
  </si>
  <si>
    <t>符艳</t>
  </si>
  <si>
    <t>何春美</t>
  </si>
  <si>
    <t>王吉蓬</t>
  </si>
  <si>
    <t>陈婆春</t>
  </si>
  <si>
    <t>吴红爱</t>
  </si>
  <si>
    <t>王慧娜</t>
  </si>
  <si>
    <t>王梦思</t>
  </si>
  <si>
    <t>张雨竹</t>
  </si>
  <si>
    <t>王柳芳</t>
  </si>
  <si>
    <t>罗蜜蜜</t>
  </si>
  <si>
    <t>杨果</t>
  </si>
  <si>
    <t>何晓蝶</t>
  </si>
  <si>
    <t>王淼</t>
  </si>
  <si>
    <t>冯琪雅</t>
  </si>
  <si>
    <t>张丽虹</t>
  </si>
  <si>
    <t>杨伊凡</t>
  </si>
  <si>
    <t>林岚</t>
  </si>
  <si>
    <t>陈萍萍</t>
  </si>
  <si>
    <t>符谷丹</t>
  </si>
  <si>
    <t>陈珠</t>
  </si>
  <si>
    <t>邱朝娴</t>
  </si>
  <si>
    <t>冯周婷</t>
  </si>
  <si>
    <t>吴海芳</t>
  </si>
  <si>
    <t>张婧</t>
  </si>
  <si>
    <t>唐秋丹</t>
  </si>
  <si>
    <t>冉菊慧</t>
  </si>
  <si>
    <t>胡慧雯</t>
  </si>
  <si>
    <t>朱方慧</t>
  </si>
  <si>
    <t>杨宝玉</t>
  </si>
  <si>
    <t>陈粉</t>
  </si>
  <si>
    <t>柯维贺</t>
  </si>
  <si>
    <t>孙秋琼</t>
  </si>
  <si>
    <t>吴漫洪</t>
  </si>
  <si>
    <t>黄莉莎</t>
  </si>
  <si>
    <t>叶晨曦</t>
  </si>
  <si>
    <t>杨珍云</t>
  </si>
  <si>
    <t>周琼丽</t>
  </si>
  <si>
    <t>陈达纯</t>
  </si>
  <si>
    <t>邱春菊</t>
  </si>
  <si>
    <t>符馨方</t>
  </si>
  <si>
    <t>王锡瑶</t>
  </si>
  <si>
    <t>周小琦</t>
  </si>
  <si>
    <t>曾起津</t>
  </si>
  <si>
    <t>谭俊妃</t>
  </si>
  <si>
    <t>陈君</t>
  </si>
  <si>
    <t>陈有将</t>
  </si>
  <si>
    <t>冼小苗</t>
  </si>
  <si>
    <t>曹肇妃</t>
  </si>
  <si>
    <t>符妹容</t>
  </si>
  <si>
    <t>金秋</t>
  </si>
  <si>
    <t>符力丹</t>
  </si>
  <si>
    <t>赵崇岳</t>
  </si>
  <si>
    <t>李文英</t>
  </si>
  <si>
    <t>陈少玲</t>
  </si>
  <si>
    <t>戴丽</t>
  </si>
  <si>
    <t>胡琳琳</t>
  </si>
  <si>
    <t>孙静</t>
  </si>
  <si>
    <t>王其倩</t>
  </si>
  <si>
    <t>黄宝莹</t>
  </si>
  <si>
    <t>柳美娜</t>
  </si>
  <si>
    <t>109</t>
  </si>
  <si>
    <t>小学语文1</t>
  </si>
  <si>
    <t>梁振仪</t>
  </si>
  <si>
    <t>于楠</t>
  </si>
  <si>
    <t>张玉麒</t>
  </si>
  <si>
    <t>陈艳</t>
  </si>
  <si>
    <t>吴珊珊</t>
  </si>
  <si>
    <t>陈婧</t>
  </si>
  <si>
    <t>吴慧心</t>
  </si>
  <si>
    <t>赵艺泽</t>
  </si>
  <si>
    <t>陈晓宇</t>
  </si>
  <si>
    <t>武旭平</t>
  </si>
  <si>
    <t>陈春彦</t>
  </si>
  <si>
    <t>曹隽雅</t>
  </si>
  <si>
    <t>岳晓亚</t>
  </si>
  <si>
    <t>马金霞</t>
  </si>
  <si>
    <t>王丽芬</t>
  </si>
  <si>
    <t>郑英英</t>
  </si>
  <si>
    <t>姜金雨</t>
  </si>
  <si>
    <t>唐世锐</t>
  </si>
  <si>
    <t>黄金怡</t>
  </si>
  <si>
    <t>柳婷婷</t>
  </si>
  <si>
    <t>符方颖</t>
  </si>
  <si>
    <t>黄尹阁</t>
  </si>
  <si>
    <t>陆美妃</t>
  </si>
  <si>
    <t>吴雨倩</t>
  </si>
  <si>
    <t>于然</t>
  </si>
  <si>
    <t>张睿璇</t>
  </si>
  <si>
    <t>曾维雯</t>
  </si>
  <si>
    <t>邢文婧</t>
  </si>
  <si>
    <t>黎丽娟</t>
  </si>
  <si>
    <t>王芷灵</t>
  </si>
  <si>
    <t>蔡亚延</t>
  </si>
  <si>
    <t>许文彬</t>
  </si>
  <si>
    <t>马雪宁</t>
  </si>
  <si>
    <t>王佳珏</t>
  </si>
  <si>
    <t>曾秀菊</t>
  </si>
  <si>
    <t>李淑娴</t>
  </si>
  <si>
    <t>张曼</t>
  </si>
  <si>
    <t>赵欣欣</t>
  </si>
  <si>
    <t>高慧敏</t>
  </si>
  <si>
    <t>陈秋茹</t>
  </si>
  <si>
    <t>符慧子</t>
  </si>
  <si>
    <t>陈艳冰</t>
  </si>
  <si>
    <t>黄欣欣</t>
  </si>
  <si>
    <t>方露霖</t>
  </si>
  <si>
    <t>刘依琳</t>
  </si>
  <si>
    <t>邢维菁</t>
  </si>
  <si>
    <t>孙佳怡</t>
  </si>
  <si>
    <t>翁泳</t>
  </si>
  <si>
    <t>林道翀</t>
  </si>
  <si>
    <t>宋雨格</t>
  </si>
  <si>
    <t>吉训春</t>
  </si>
  <si>
    <t>张瑞玲</t>
  </si>
  <si>
    <t>陈予诺</t>
  </si>
  <si>
    <t>陈佳琳</t>
  </si>
  <si>
    <t>高雨萌</t>
  </si>
  <si>
    <t>金叶</t>
  </si>
  <si>
    <t>黄嘉诚</t>
  </si>
  <si>
    <t>叶雪芳</t>
  </si>
  <si>
    <t>吴周钰</t>
  </si>
  <si>
    <t>黄春竹</t>
  </si>
  <si>
    <t>陈小梦</t>
  </si>
  <si>
    <t>唐丹梅</t>
  </si>
  <si>
    <t>陈泓谕</t>
  </si>
  <si>
    <t>徐晓捐</t>
  </si>
  <si>
    <t>吴芳丞</t>
  </si>
  <si>
    <t>李方榕</t>
  </si>
  <si>
    <t>陈陆宁</t>
  </si>
  <si>
    <t>梁文欣</t>
  </si>
  <si>
    <t>羊秋香</t>
  </si>
  <si>
    <t>周丹</t>
  </si>
  <si>
    <t>李日红</t>
  </si>
  <si>
    <t>吴莲花</t>
  </si>
  <si>
    <t>林华芸</t>
  </si>
  <si>
    <t>郭思瑶</t>
  </si>
  <si>
    <t>符碧霞</t>
  </si>
  <si>
    <t>韩慧珍</t>
  </si>
  <si>
    <t>周美慧</t>
  </si>
  <si>
    <t>王樱抚</t>
  </si>
  <si>
    <t>卢俊睿</t>
  </si>
  <si>
    <t>罗千玲</t>
  </si>
  <si>
    <t>许晓晴</t>
  </si>
  <si>
    <t>林小芳</t>
  </si>
  <si>
    <t>黄欣</t>
  </si>
  <si>
    <t>林懿</t>
  </si>
  <si>
    <t>王明鹏</t>
  </si>
  <si>
    <t>吴启璋</t>
  </si>
  <si>
    <t>陈莉金</t>
  </si>
  <si>
    <t>韩云彤</t>
  </si>
  <si>
    <t>符加卫</t>
  </si>
  <si>
    <t>李欢</t>
  </si>
  <si>
    <t>尹扬振</t>
  </si>
  <si>
    <t>仲启欣</t>
  </si>
  <si>
    <t>符方梅</t>
  </si>
  <si>
    <t>陶可欣</t>
  </si>
  <si>
    <t>李海莹</t>
  </si>
  <si>
    <t>任碧琴</t>
  </si>
  <si>
    <t>钟杰</t>
  </si>
  <si>
    <t>方梓情</t>
  </si>
  <si>
    <t>王欣悦</t>
  </si>
  <si>
    <t>成甜</t>
  </si>
  <si>
    <t>吴冬月</t>
  </si>
  <si>
    <t>卢小湉</t>
  </si>
  <si>
    <t>谢雅婷</t>
  </si>
  <si>
    <t>陈潇</t>
  </si>
  <si>
    <t>王深</t>
  </si>
  <si>
    <t>谢采坊</t>
  </si>
  <si>
    <t>刘星雨</t>
  </si>
  <si>
    <t>李小亚</t>
  </si>
  <si>
    <t>罗蓓</t>
  </si>
  <si>
    <t>吴少花</t>
  </si>
  <si>
    <t>陈燕雨</t>
  </si>
  <si>
    <t>周文澜</t>
  </si>
  <si>
    <t>方琼粒</t>
  </si>
  <si>
    <t>陈项项</t>
  </si>
  <si>
    <t>黄天慧</t>
  </si>
  <si>
    <t>梁晨</t>
  </si>
  <si>
    <t>唐传婷</t>
  </si>
  <si>
    <t>符梅燕</t>
  </si>
  <si>
    <t>莫绪琪</t>
  </si>
  <si>
    <t>蔡南南</t>
  </si>
  <si>
    <t>王玉仙</t>
  </si>
  <si>
    <t>张进珠</t>
  </si>
  <si>
    <t>周晓倩</t>
  </si>
  <si>
    <t>潘凌瑜</t>
  </si>
  <si>
    <t>杨娇惠</t>
  </si>
  <si>
    <t>袁杰</t>
  </si>
  <si>
    <t>王婉莹</t>
  </si>
  <si>
    <t>李小健</t>
  </si>
  <si>
    <t>方璐琳</t>
  </si>
  <si>
    <t>关冉歆</t>
  </si>
  <si>
    <t>黎兴芳</t>
  </si>
  <si>
    <t>唐闻华</t>
  </si>
  <si>
    <t>刘佩</t>
  </si>
  <si>
    <t>谭丽莉</t>
  </si>
  <si>
    <t>陈经妹</t>
  </si>
  <si>
    <t>郭琪颖</t>
  </si>
  <si>
    <t>胥林爽</t>
  </si>
  <si>
    <t>王铮钰</t>
  </si>
  <si>
    <t>符祯</t>
  </si>
  <si>
    <t>陈秀选</t>
  </si>
  <si>
    <t>姚虹</t>
  </si>
  <si>
    <t>王瑾</t>
  </si>
  <si>
    <t>刘致君</t>
  </si>
  <si>
    <t>董欣渝</t>
  </si>
  <si>
    <t>寇明丽</t>
  </si>
  <si>
    <t>林许荟</t>
  </si>
  <si>
    <t>梁阿惠</t>
  </si>
  <si>
    <t>符心怡</t>
  </si>
  <si>
    <t>刘亦寒</t>
  </si>
  <si>
    <t>高秀凤</t>
  </si>
  <si>
    <t>骆美妍</t>
  </si>
  <si>
    <t>刘君</t>
  </si>
  <si>
    <t>黄娴雅</t>
  </si>
  <si>
    <t>曾回婷</t>
  </si>
  <si>
    <t>符亚南</t>
  </si>
  <si>
    <t>吴金梅</t>
  </si>
  <si>
    <t>杨清蓉</t>
  </si>
  <si>
    <t>高丹丹</t>
  </si>
  <si>
    <t>徐幸雪</t>
  </si>
  <si>
    <t>莫欣欣</t>
  </si>
  <si>
    <t>符升炜</t>
  </si>
  <si>
    <t>吴柔慧</t>
  </si>
  <si>
    <t>盛亚强</t>
  </si>
  <si>
    <t>黄蕾</t>
  </si>
  <si>
    <t>陈雨朦</t>
  </si>
  <si>
    <t>林子杨</t>
  </si>
  <si>
    <t>郑玉媛</t>
  </si>
  <si>
    <t>纪小健</t>
  </si>
  <si>
    <t>王光静</t>
  </si>
  <si>
    <t>朱进霞</t>
  </si>
  <si>
    <t>凌仕梁</t>
  </si>
  <si>
    <t>吴翠英</t>
  </si>
  <si>
    <t>林娴婷</t>
  </si>
  <si>
    <t>余许熙</t>
  </si>
  <si>
    <t>陈钰敏</t>
  </si>
  <si>
    <t>刘诗琪</t>
  </si>
  <si>
    <t>钟洁滢</t>
  </si>
  <si>
    <t>符维倩</t>
  </si>
  <si>
    <t>林文坛</t>
  </si>
  <si>
    <t>陈桂芬</t>
  </si>
  <si>
    <t>李宜桐</t>
  </si>
  <si>
    <t>许小环</t>
  </si>
  <si>
    <t>王彦媛</t>
  </si>
  <si>
    <t>钟丽</t>
  </si>
  <si>
    <t>杨碧新</t>
  </si>
  <si>
    <t>蔡汝晔</t>
  </si>
  <si>
    <t>李双灼</t>
  </si>
  <si>
    <t>吴微微</t>
  </si>
  <si>
    <t>陈秋伊</t>
  </si>
  <si>
    <t>陈昱卉</t>
  </si>
  <si>
    <t>钟珍珍</t>
  </si>
  <si>
    <t>齐静</t>
  </si>
  <si>
    <t>符金凤</t>
  </si>
  <si>
    <t>陈杨飘</t>
  </si>
  <si>
    <t>钟楠</t>
  </si>
  <si>
    <t>唐琼媚</t>
  </si>
  <si>
    <t>靳晓玉</t>
  </si>
  <si>
    <t>韩虹娜</t>
  </si>
  <si>
    <t>樊菲</t>
  </si>
  <si>
    <t>符茹</t>
  </si>
  <si>
    <t>郑鸿磊</t>
  </si>
  <si>
    <t>甘业美</t>
  </si>
  <si>
    <t>蔡玉莹</t>
  </si>
  <si>
    <t>吕佳佳</t>
  </si>
  <si>
    <t>周汇子</t>
  </si>
  <si>
    <t>陈蓉</t>
  </si>
  <si>
    <t>邱钰欣</t>
  </si>
  <si>
    <t>林尤妹</t>
  </si>
  <si>
    <t>李晓玉</t>
  </si>
  <si>
    <t>骆慧君</t>
  </si>
  <si>
    <t>陈慧茹</t>
  </si>
  <si>
    <t>徐小妮</t>
  </si>
  <si>
    <t>张玉慧</t>
  </si>
  <si>
    <t>徐梦雅</t>
  </si>
  <si>
    <t>陈巧雯</t>
  </si>
  <si>
    <t>陈思宇</t>
  </si>
  <si>
    <t>符琬曼</t>
  </si>
  <si>
    <t>李裕师</t>
  </si>
  <si>
    <t>李璐瑶</t>
  </si>
  <si>
    <t>吴菲菲</t>
  </si>
  <si>
    <t>许嘉欣</t>
  </si>
  <si>
    <t>戴磊</t>
  </si>
  <si>
    <t>陈一水</t>
  </si>
  <si>
    <t>罗靖超</t>
  </si>
  <si>
    <t>裴梦霞</t>
  </si>
  <si>
    <t>马睿娴</t>
  </si>
  <si>
    <t>孟璇</t>
  </si>
  <si>
    <t>陈晖桐</t>
  </si>
  <si>
    <t>赵丹丹</t>
  </si>
  <si>
    <t>叶碧菁</t>
  </si>
  <si>
    <t>张春茜</t>
  </si>
  <si>
    <t>杜丽英</t>
  </si>
  <si>
    <t>陈益端</t>
  </si>
  <si>
    <t>郑静刚</t>
  </si>
  <si>
    <t>卢拜增</t>
  </si>
  <si>
    <t>叶秋香</t>
  </si>
  <si>
    <t>覃惠颖</t>
  </si>
  <si>
    <t>刘小文</t>
  </si>
  <si>
    <t>彭蝶</t>
  </si>
  <si>
    <t>陈秋菊</t>
  </si>
  <si>
    <t>钟晓莉</t>
  </si>
  <si>
    <t>何宜璇</t>
  </si>
  <si>
    <t>何欣</t>
  </si>
  <si>
    <t>李雪薇</t>
  </si>
  <si>
    <t>林彩惠</t>
  </si>
  <si>
    <t>周女桢</t>
  </si>
  <si>
    <t>谢惠敏</t>
  </si>
  <si>
    <t>莫玲玲</t>
  </si>
  <si>
    <t>许怡婷</t>
  </si>
  <si>
    <t>黄婷</t>
  </si>
  <si>
    <t>冯宇婧</t>
  </si>
  <si>
    <t>曹茹彦</t>
  </si>
  <si>
    <t>王海玲</t>
  </si>
  <si>
    <t>李开娜</t>
  </si>
  <si>
    <t>黄珍</t>
  </si>
  <si>
    <t>许颖</t>
  </si>
  <si>
    <t>潘晓虹</t>
  </si>
  <si>
    <t>王露露</t>
  </si>
  <si>
    <t>苏娇雪</t>
  </si>
  <si>
    <t>文君</t>
  </si>
  <si>
    <t>翁晓娟</t>
  </si>
  <si>
    <t>王水</t>
  </si>
  <si>
    <t>李定艳</t>
  </si>
  <si>
    <t>吉春婷</t>
  </si>
  <si>
    <t>郑冬容</t>
  </si>
  <si>
    <t>邹泳卿</t>
  </si>
  <si>
    <t>李官杏</t>
  </si>
  <si>
    <t>王怡程</t>
  </si>
  <si>
    <t>陈娇凤</t>
  </si>
  <si>
    <t>刘源</t>
  </si>
  <si>
    <t>邓雨晴</t>
  </si>
  <si>
    <t>李小菲</t>
  </si>
  <si>
    <t>符欣欣</t>
  </si>
  <si>
    <t>李业颖</t>
  </si>
  <si>
    <t>何春玲</t>
  </si>
  <si>
    <t>邱惠芳</t>
  </si>
  <si>
    <t>李秋丽</t>
  </si>
  <si>
    <t>钟媛</t>
  </si>
  <si>
    <t>梁艺</t>
  </si>
  <si>
    <t>谢静敏</t>
  </si>
  <si>
    <t>杨娜</t>
  </si>
  <si>
    <t>罗微微</t>
  </si>
  <si>
    <t>史丰阳</t>
  </si>
  <si>
    <t>黄龙凤</t>
  </si>
  <si>
    <t>李振妃</t>
  </si>
  <si>
    <t>符燕</t>
  </si>
  <si>
    <t>符馨予</t>
  </si>
  <si>
    <t>陈荟西</t>
  </si>
  <si>
    <t>陈华士</t>
  </si>
  <si>
    <t>彭嘉欣</t>
  </si>
  <si>
    <t>朱乔滟</t>
  </si>
  <si>
    <t>黄梦之</t>
  </si>
  <si>
    <t>王君蓉</t>
  </si>
  <si>
    <t>黎燕</t>
  </si>
  <si>
    <t>郑鲜妍</t>
  </si>
  <si>
    <t>邓倩敏</t>
  </si>
  <si>
    <t>周蔚琨</t>
  </si>
  <si>
    <t>何苗</t>
  </si>
  <si>
    <t>冯丹娜</t>
  </si>
  <si>
    <t>陈皓云</t>
  </si>
  <si>
    <t>王钰</t>
  </si>
  <si>
    <t>王再伶</t>
  </si>
  <si>
    <t>王虹臻</t>
  </si>
  <si>
    <t>符镕麟</t>
  </si>
  <si>
    <t>候琛山</t>
  </si>
  <si>
    <t>潘宜慧</t>
  </si>
  <si>
    <t>蔡丽娟</t>
  </si>
  <si>
    <t>魏菁秀</t>
  </si>
  <si>
    <t>司晓晓</t>
  </si>
  <si>
    <t>郑惠春</t>
  </si>
  <si>
    <t>李尚真</t>
  </si>
  <si>
    <t>王东雯</t>
  </si>
  <si>
    <t>薛贤彩</t>
  </si>
  <si>
    <t>朱影</t>
  </si>
  <si>
    <t>邝晔</t>
  </si>
  <si>
    <t>陈妹玉</t>
  </si>
  <si>
    <t>韩向楠</t>
  </si>
  <si>
    <t>黄莹莹</t>
  </si>
  <si>
    <t>温欣</t>
  </si>
  <si>
    <t>李向飞</t>
  </si>
  <si>
    <t>张芹</t>
  </si>
  <si>
    <t>黎倩妮</t>
  </si>
  <si>
    <t>徐丽</t>
  </si>
  <si>
    <t>李杰元</t>
  </si>
  <si>
    <t>方丽妹</t>
  </si>
  <si>
    <t>罗青庆</t>
  </si>
  <si>
    <t>李茹媛</t>
  </si>
  <si>
    <t>张紫涵</t>
  </si>
  <si>
    <t>赖静茜</t>
  </si>
  <si>
    <t>李美婷</t>
  </si>
  <si>
    <t>刘珊珊</t>
  </si>
  <si>
    <t>李慧芹</t>
  </si>
  <si>
    <t>王思雨</t>
  </si>
  <si>
    <t>沈银君</t>
  </si>
  <si>
    <t>蒋大波</t>
  </si>
  <si>
    <t>符冬雪</t>
  </si>
  <si>
    <t>符芳丽</t>
  </si>
  <si>
    <t>王露</t>
  </si>
  <si>
    <t>郑惠尹</t>
  </si>
  <si>
    <t>吴泽瑾</t>
  </si>
  <si>
    <t>周心慧</t>
  </si>
  <si>
    <t>符宝丹</t>
  </si>
  <si>
    <t>王荣玲</t>
  </si>
  <si>
    <t>吴清菡</t>
  </si>
  <si>
    <t>周颖</t>
  </si>
  <si>
    <t>林柳菁</t>
  </si>
  <si>
    <t>郑淞丹</t>
  </si>
  <si>
    <t>熊厚</t>
  </si>
  <si>
    <t>陈健萍</t>
  </si>
  <si>
    <t>赵民英</t>
  </si>
  <si>
    <t>王世国</t>
  </si>
  <si>
    <t>高慧雯</t>
  </si>
  <si>
    <t>覃春婷</t>
  </si>
  <si>
    <t>陈少娇</t>
  </si>
  <si>
    <t>容茜芸</t>
  </si>
  <si>
    <t>岑晓</t>
  </si>
  <si>
    <t>王迷尔</t>
  </si>
  <si>
    <t>王雅恬</t>
  </si>
  <si>
    <t>马婧</t>
  </si>
  <si>
    <t>罗王欣</t>
  </si>
  <si>
    <t>吴金珊</t>
  </si>
  <si>
    <t>黎容吕</t>
  </si>
  <si>
    <t>梁楠</t>
  </si>
  <si>
    <t>陈月伽</t>
  </si>
  <si>
    <t>汪祉君</t>
  </si>
  <si>
    <t>刘凡</t>
  </si>
  <si>
    <t>邢智琴</t>
  </si>
  <si>
    <t>陈梦秋</t>
  </si>
  <si>
    <t>黄千千</t>
  </si>
  <si>
    <t>肖咪</t>
  </si>
  <si>
    <t>蔡春萍</t>
  </si>
  <si>
    <t>李绣秀</t>
  </si>
  <si>
    <t>蔡丽萍</t>
  </si>
  <si>
    <t>任莹雪</t>
  </si>
  <si>
    <t>黄宁</t>
  </si>
  <si>
    <t>钟云</t>
  </si>
  <si>
    <t>陈海欣</t>
  </si>
  <si>
    <t>吕佳琪</t>
  </si>
  <si>
    <t>梁奇</t>
  </si>
  <si>
    <t>李静</t>
  </si>
  <si>
    <t>李钰莹</t>
  </si>
  <si>
    <t>张小晶</t>
  </si>
  <si>
    <t>卢香奕</t>
  </si>
  <si>
    <t>毛冬花</t>
  </si>
  <si>
    <t>林巧添</t>
  </si>
  <si>
    <t>朱文婧</t>
  </si>
  <si>
    <t>张倩颖</t>
  </si>
  <si>
    <t>冯观静</t>
  </si>
  <si>
    <t>梁芳</t>
  </si>
  <si>
    <t>陈玥</t>
  </si>
  <si>
    <t>王艺颖</t>
  </si>
  <si>
    <t>冼湘雪</t>
  </si>
  <si>
    <t>杨海萍</t>
  </si>
  <si>
    <t>贾喻婷</t>
  </si>
  <si>
    <t>邢玲子</t>
  </si>
  <si>
    <t>程欣</t>
  </si>
  <si>
    <t>吴心运</t>
  </si>
  <si>
    <t>赵凤玲</t>
  </si>
  <si>
    <t>林慧慧</t>
  </si>
  <si>
    <t>蔡静</t>
  </si>
  <si>
    <t>吴菊妍</t>
  </si>
  <si>
    <t>邱千玥</t>
  </si>
  <si>
    <t>郑红颖</t>
  </si>
  <si>
    <t>莫茜雯</t>
  </si>
  <si>
    <t>符慧敏</t>
  </si>
  <si>
    <t>王康玉</t>
  </si>
  <si>
    <t>曾萍</t>
  </si>
  <si>
    <t>陈彦君</t>
  </si>
  <si>
    <t>吴巧</t>
  </si>
  <si>
    <t>陈芊羽</t>
  </si>
  <si>
    <t>黎经史</t>
  </si>
  <si>
    <t>王雨琪</t>
  </si>
  <si>
    <t>詹明苏</t>
  </si>
  <si>
    <t>郭苗苗</t>
  </si>
  <si>
    <t>曾丹</t>
  </si>
  <si>
    <t>薛理乐</t>
  </si>
  <si>
    <t>陈足莲</t>
  </si>
  <si>
    <t>梁雅晴</t>
  </si>
  <si>
    <t>吴肖红</t>
  </si>
  <si>
    <t>柳明菊</t>
  </si>
  <si>
    <t>林苗</t>
  </si>
  <si>
    <t>王陆妹</t>
  </si>
  <si>
    <t>崔开驹</t>
  </si>
  <si>
    <t>李丽冰1</t>
  </si>
  <si>
    <t>叶慧</t>
  </si>
  <si>
    <t>黄文蕾</t>
  </si>
  <si>
    <t>吴茜茜</t>
  </si>
  <si>
    <t>何婷婷</t>
  </si>
  <si>
    <t>沈桓妃</t>
  </si>
  <si>
    <t>蔡秋荻</t>
  </si>
  <si>
    <t>洪丽美</t>
  </si>
  <si>
    <t>邓淑蕾</t>
  </si>
  <si>
    <t>陈仙养</t>
  </si>
  <si>
    <t>毛轲</t>
  </si>
  <si>
    <t>谢雯</t>
  </si>
  <si>
    <t>劳海丽</t>
  </si>
  <si>
    <t>丁子淇</t>
  </si>
  <si>
    <t>黄怡</t>
  </si>
  <si>
    <t>丛新</t>
  </si>
  <si>
    <t>张露</t>
  </si>
  <si>
    <t>黄少芬</t>
  </si>
  <si>
    <t>何井美</t>
  </si>
  <si>
    <t>李昕</t>
  </si>
  <si>
    <t>杜欢欢</t>
  </si>
  <si>
    <t>郑璐</t>
  </si>
  <si>
    <t>羊多枫</t>
  </si>
  <si>
    <t>陈小云</t>
  </si>
  <si>
    <t>郭琼花</t>
  </si>
  <si>
    <t>韩逸蕊</t>
  </si>
  <si>
    <t>符丽香</t>
  </si>
  <si>
    <t>黄诗语</t>
  </si>
  <si>
    <t>吕露</t>
  </si>
  <si>
    <t>韩佳霖</t>
  </si>
  <si>
    <t>王琼芬</t>
  </si>
  <si>
    <t>符慧芳</t>
  </si>
  <si>
    <t>郑婷</t>
  </si>
  <si>
    <t>王海兰</t>
  </si>
  <si>
    <t>何秀莉</t>
  </si>
  <si>
    <t>韩东绿</t>
  </si>
  <si>
    <t>梁珊萍</t>
  </si>
  <si>
    <t>胡虹宇</t>
  </si>
  <si>
    <t>黄玉晶</t>
  </si>
  <si>
    <t>周惠宁</t>
  </si>
  <si>
    <t>郑文竹</t>
  </si>
  <si>
    <t>高圆圆</t>
  </si>
  <si>
    <t>干文琴</t>
  </si>
  <si>
    <t>唐思蕊</t>
  </si>
  <si>
    <t>陈红颖</t>
  </si>
  <si>
    <t>丁兰澜</t>
  </si>
  <si>
    <t>邓振孟</t>
  </si>
  <si>
    <t>龙玉颖</t>
  </si>
  <si>
    <t>方玲</t>
  </si>
  <si>
    <t>林子婷</t>
  </si>
  <si>
    <t>王慧</t>
  </si>
  <si>
    <t>吴静红</t>
  </si>
  <si>
    <t>陈茗馨</t>
  </si>
  <si>
    <t>范雅婷</t>
  </si>
  <si>
    <t>王俊娜</t>
  </si>
  <si>
    <t>周密密</t>
  </si>
  <si>
    <t>王敏慧</t>
  </si>
  <si>
    <t>吴剑花</t>
  </si>
  <si>
    <t>杜金丁</t>
  </si>
  <si>
    <t>梁其腾</t>
  </si>
  <si>
    <t>韩迷迷</t>
  </si>
  <si>
    <t>王素珍</t>
  </si>
  <si>
    <t>陈杨华</t>
  </si>
  <si>
    <t>孙芋</t>
  </si>
  <si>
    <t>黎倖佃</t>
  </si>
  <si>
    <t>王雪晔</t>
  </si>
  <si>
    <t>陈文丽</t>
  </si>
  <si>
    <t>周娜</t>
  </si>
  <si>
    <t>潘瑾琳</t>
  </si>
  <si>
    <t>薛海娟</t>
  </si>
  <si>
    <t>庄铠嫚</t>
  </si>
  <si>
    <t>羊光彩</t>
  </si>
  <si>
    <t>梁祺</t>
  </si>
  <si>
    <t>程瑞</t>
  </si>
  <si>
    <t>梁姑美</t>
  </si>
  <si>
    <t>黄海菁</t>
  </si>
  <si>
    <t>唐莹铮</t>
  </si>
  <si>
    <t>冯丹莹</t>
  </si>
  <si>
    <t>符书蔚</t>
  </si>
  <si>
    <t>王西玉</t>
  </si>
  <si>
    <t>刘得芬</t>
  </si>
  <si>
    <t>王晗彤</t>
  </si>
  <si>
    <t>郑雯婷</t>
  </si>
  <si>
    <t>黄雨欣</t>
  </si>
  <si>
    <t>陈海珍</t>
  </si>
  <si>
    <t>党美琳</t>
  </si>
  <si>
    <t>赵珂</t>
  </si>
  <si>
    <t>林明惠</t>
  </si>
  <si>
    <t>袁研璞</t>
  </si>
  <si>
    <t>梁钰聆</t>
  </si>
  <si>
    <t>陈明珠</t>
  </si>
  <si>
    <t>卢慧</t>
  </si>
  <si>
    <t>庄慧俏</t>
  </si>
  <si>
    <t>洪莹</t>
  </si>
  <si>
    <t>陈夏</t>
  </si>
  <si>
    <t>王芷华</t>
  </si>
  <si>
    <t>程丽敏</t>
  </si>
  <si>
    <t>邢妙雨</t>
  </si>
  <si>
    <t>韩千红</t>
  </si>
  <si>
    <t>刘俊怡</t>
  </si>
  <si>
    <t>吴雯倩</t>
  </si>
  <si>
    <t>陈曈</t>
  </si>
  <si>
    <t>吴文妹</t>
  </si>
  <si>
    <t>赫英喆</t>
  </si>
  <si>
    <t>郑清尔</t>
  </si>
  <si>
    <t>吴艳皎</t>
  </si>
  <si>
    <t>郑庆燕</t>
  </si>
  <si>
    <t>何明珊</t>
  </si>
  <si>
    <t>王娴</t>
  </si>
  <si>
    <t>李佳佳</t>
  </si>
  <si>
    <t>徐碧霞</t>
  </si>
  <si>
    <t>邓妍</t>
  </si>
  <si>
    <t>方琴岚</t>
  </si>
  <si>
    <t>陈奕瑶</t>
  </si>
  <si>
    <t>曾晓莉</t>
  </si>
  <si>
    <t>何妍</t>
  </si>
  <si>
    <t>黄晓菲</t>
  </si>
  <si>
    <t>陈小君</t>
  </si>
  <si>
    <t>陈馨瑶</t>
  </si>
  <si>
    <t>张明娇</t>
  </si>
  <si>
    <t>吴克妃</t>
  </si>
  <si>
    <t>贺宙轴</t>
  </si>
  <si>
    <t>王美娜</t>
  </si>
  <si>
    <t>卢宛芳</t>
  </si>
  <si>
    <t>罗仙</t>
  </si>
  <si>
    <t>符严心</t>
  </si>
  <si>
    <t>董欢秀</t>
  </si>
  <si>
    <t>王琼莹</t>
  </si>
  <si>
    <t>钟丽娜</t>
  </si>
  <si>
    <t>蔡丽菁</t>
  </si>
  <si>
    <t>张茈玲</t>
  </si>
  <si>
    <t>邱语</t>
  </si>
  <si>
    <t>唐慧</t>
  </si>
  <si>
    <t>黄才智</t>
  </si>
  <si>
    <t>蔡窈窈</t>
  </si>
  <si>
    <t>李柳妍</t>
  </si>
  <si>
    <t>吉欣婷</t>
  </si>
  <si>
    <t>单婉茹</t>
  </si>
  <si>
    <t>李青榕</t>
  </si>
  <si>
    <t>符佳欣</t>
  </si>
  <si>
    <t>孙钰</t>
  </si>
  <si>
    <t>赵禹</t>
  </si>
  <si>
    <t>王淑</t>
  </si>
  <si>
    <t>董玲玲</t>
  </si>
  <si>
    <t>林丽莎</t>
  </si>
  <si>
    <t>汤锡丽</t>
  </si>
  <si>
    <t>吴金英</t>
  </si>
  <si>
    <t>苏姜茹</t>
  </si>
  <si>
    <t>王茹</t>
  </si>
  <si>
    <t>赵星美</t>
  </si>
  <si>
    <t>麦孟丽</t>
  </si>
  <si>
    <t>文雅丽</t>
  </si>
  <si>
    <t>李姗姗</t>
  </si>
  <si>
    <t>符念欣</t>
  </si>
  <si>
    <t>苏珊珊</t>
  </si>
  <si>
    <t>吕才敏</t>
  </si>
  <si>
    <t>王艺铮</t>
  </si>
  <si>
    <t>曹婷</t>
  </si>
  <si>
    <t>林勉</t>
  </si>
  <si>
    <t>冯丽妃</t>
  </si>
  <si>
    <t>陈融亲</t>
  </si>
  <si>
    <t>倪艳易</t>
  </si>
  <si>
    <t>李欢乐</t>
  </si>
  <si>
    <t>刘丁</t>
  </si>
  <si>
    <t>陈小灿</t>
  </si>
  <si>
    <t>罗佳灵</t>
  </si>
  <si>
    <t>陈积丹</t>
  </si>
  <si>
    <t>文玲</t>
  </si>
  <si>
    <t>孙少宏</t>
  </si>
  <si>
    <t>师自星</t>
  </si>
  <si>
    <t>李晨龄</t>
  </si>
  <si>
    <t>朱丽丽</t>
  </si>
  <si>
    <t>何春岸</t>
  </si>
  <si>
    <t>陈柏弟</t>
  </si>
  <si>
    <t>张兰英</t>
  </si>
  <si>
    <t>曾楚若</t>
  </si>
  <si>
    <t>文艺洁</t>
  </si>
  <si>
    <t>洪玉媛</t>
  </si>
  <si>
    <t>钟清容</t>
  </si>
  <si>
    <t>吴沁文</t>
  </si>
  <si>
    <t>陈晓杰</t>
  </si>
  <si>
    <t>陈妹玲</t>
  </si>
  <si>
    <t>叶宝莹</t>
  </si>
  <si>
    <t>谢毕猷</t>
  </si>
  <si>
    <t>郭祺</t>
  </si>
  <si>
    <t>符露萍</t>
  </si>
  <si>
    <t>王新莉</t>
  </si>
  <si>
    <t>周顺发</t>
  </si>
  <si>
    <t>宁诗怡</t>
  </si>
  <si>
    <t>叶春丹</t>
  </si>
  <si>
    <t>沈容寺</t>
  </si>
  <si>
    <t>周玉娇</t>
  </si>
  <si>
    <t>郝素净</t>
  </si>
  <si>
    <t>赵雨桐</t>
  </si>
  <si>
    <t>符美桂</t>
  </si>
  <si>
    <t>何思衡</t>
  </si>
  <si>
    <t>林小颖</t>
  </si>
  <si>
    <t>马明雪</t>
  </si>
  <si>
    <t>柯行苗</t>
  </si>
  <si>
    <t>陈美亭</t>
  </si>
  <si>
    <t>冯莉莉</t>
  </si>
  <si>
    <t>张福雅</t>
  </si>
  <si>
    <t>黄晨欣</t>
  </si>
  <si>
    <t>邹丹</t>
  </si>
  <si>
    <t>段怡黠</t>
  </si>
  <si>
    <t>贾琪</t>
  </si>
  <si>
    <t>王秀琼</t>
  </si>
  <si>
    <t>唐雄燕</t>
  </si>
  <si>
    <t>王华丽</t>
  </si>
  <si>
    <t>吴菁菁</t>
  </si>
  <si>
    <t>符丽君</t>
  </si>
  <si>
    <t>王思明</t>
  </si>
  <si>
    <t>黄春满</t>
  </si>
  <si>
    <t>刘西言</t>
  </si>
  <si>
    <t>缪皇儿</t>
  </si>
  <si>
    <t>慈悦</t>
  </si>
  <si>
    <t>周静</t>
  </si>
  <si>
    <t>纪诗诗</t>
  </si>
  <si>
    <t>肖郁葱</t>
  </si>
  <si>
    <t>林春苗</t>
  </si>
  <si>
    <t>郑少玲</t>
  </si>
  <si>
    <t>杨世锐</t>
  </si>
  <si>
    <t>刘玉冰</t>
  </si>
  <si>
    <t>吴万霞</t>
  </si>
  <si>
    <t>李敏钰</t>
  </si>
  <si>
    <t>黄诗婷</t>
  </si>
  <si>
    <t>符爱仙</t>
  </si>
  <si>
    <t>梁仙婉</t>
  </si>
  <si>
    <t>陈佳丽</t>
  </si>
  <si>
    <t>郑丹琪</t>
  </si>
  <si>
    <t>冯祥娜</t>
  </si>
  <si>
    <t>林婉妃</t>
  </si>
  <si>
    <t>吴娱</t>
  </si>
  <si>
    <t>邓陈杏</t>
  </si>
  <si>
    <t>朱楠楠</t>
  </si>
  <si>
    <t>王花</t>
  </si>
  <si>
    <t>钟秋苡</t>
  </si>
  <si>
    <t>江星果</t>
  </si>
  <si>
    <t>吴滢</t>
  </si>
  <si>
    <t>符丹蕊</t>
  </si>
  <si>
    <t>林小凤</t>
  </si>
  <si>
    <t>陈思爱</t>
  </si>
  <si>
    <t>黎思诗</t>
  </si>
  <si>
    <t>陈丽晶</t>
  </si>
  <si>
    <t>王恪慧</t>
  </si>
  <si>
    <t>李薇</t>
  </si>
  <si>
    <t>林慧丽</t>
  </si>
  <si>
    <t>李春慧</t>
  </si>
  <si>
    <t>林婧</t>
  </si>
  <si>
    <t>陈梦</t>
  </si>
  <si>
    <t>吴红琳</t>
  </si>
  <si>
    <t>邢敏</t>
  </si>
  <si>
    <t>吴育芬</t>
  </si>
  <si>
    <t>林羚</t>
  </si>
  <si>
    <t>黎彩云</t>
  </si>
  <si>
    <t>冯琼叶</t>
  </si>
  <si>
    <t>林丽媛</t>
  </si>
  <si>
    <t>胡静超</t>
  </si>
  <si>
    <t>吴饶紫</t>
  </si>
  <si>
    <t>黄馨锌</t>
  </si>
  <si>
    <t>赵昕悦</t>
  </si>
  <si>
    <t>潘容</t>
  </si>
  <si>
    <t>林那榕</t>
  </si>
  <si>
    <t>郝博雅</t>
  </si>
  <si>
    <t>殷艳雅</t>
  </si>
  <si>
    <t>刘美珍</t>
  </si>
  <si>
    <t>周瑞娜</t>
  </si>
  <si>
    <t>吴彩蕾</t>
  </si>
  <si>
    <t>钟碧灵</t>
  </si>
  <si>
    <t>黄金花</t>
  </si>
  <si>
    <t>颜如玉</t>
  </si>
  <si>
    <t>李子豪</t>
  </si>
  <si>
    <t>黄少</t>
  </si>
  <si>
    <t>倪明慧</t>
  </si>
  <si>
    <t>胡考英</t>
  </si>
  <si>
    <t>黄幸子</t>
  </si>
  <si>
    <t>黎婷婷</t>
  </si>
  <si>
    <t>陈杨</t>
  </si>
  <si>
    <t>陈烨</t>
  </si>
  <si>
    <t>庄瑾</t>
  </si>
  <si>
    <t>柯琦丹</t>
  </si>
  <si>
    <t>吴方花</t>
  </si>
  <si>
    <t>吴峥峥</t>
  </si>
  <si>
    <t>符秀梅</t>
  </si>
  <si>
    <t>文芳玲</t>
  </si>
  <si>
    <t>张秋雨</t>
  </si>
  <si>
    <t>刘欣怡</t>
  </si>
  <si>
    <t>王小钻</t>
  </si>
  <si>
    <t>王珊珊</t>
  </si>
  <si>
    <t>李晓雨</t>
  </si>
  <si>
    <t>王涵</t>
  </si>
  <si>
    <t>陈春韵</t>
  </si>
  <si>
    <t>牛子孺</t>
  </si>
  <si>
    <t>陈积雅</t>
  </si>
  <si>
    <t>沈佳怡</t>
  </si>
  <si>
    <t>宋敏</t>
  </si>
  <si>
    <t>李卓芯</t>
  </si>
  <si>
    <t>王平萱</t>
  </si>
  <si>
    <t>欧阳琳</t>
  </si>
  <si>
    <t>窦辉怡</t>
  </si>
  <si>
    <t>李海丽</t>
  </si>
  <si>
    <t>王莉贞</t>
  </si>
  <si>
    <t>董欣怡</t>
  </si>
  <si>
    <t>高天宠</t>
  </si>
  <si>
    <t>黄善善</t>
  </si>
  <si>
    <t>杨程萍</t>
  </si>
  <si>
    <t>符晶晶</t>
  </si>
  <si>
    <t>林志佳</t>
  </si>
  <si>
    <t>陈丽婷</t>
  </si>
  <si>
    <t>谭州君</t>
  </si>
  <si>
    <t>王琳雅</t>
  </si>
  <si>
    <t>吴凤鸣</t>
  </si>
  <si>
    <t>沈紫烟</t>
  </si>
  <si>
    <t>段晓梅</t>
  </si>
  <si>
    <t>冯杰玲</t>
  </si>
  <si>
    <t>吴小琴</t>
  </si>
  <si>
    <t>何慧敏</t>
  </si>
  <si>
    <t>吴素芳</t>
  </si>
  <si>
    <t>张至馨</t>
  </si>
  <si>
    <t>陈婆转</t>
  </si>
  <si>
    <t>鲁晨熙</t>
  </si>
  <si>
    <t>邱燕敏</t>
  </si>
  <si>
    <t>蔡晓庆</t>
  </si>
  <si>
    <t>黄慧菲</t>
  </si>
  <si>
    <t>胡良好</t>
  </si>
  <si>
    <t>陈秀芬</t>
  </si>
  <si>
    <t>王嘉慧</t>
  </si>
  <si>
    <t>杨心蕊</t>
  </si>
  <si>
    <t>符赵霞</t>
  </si>
  <si>
    <t>张华丽</t>
  </si>
  <si>
    <t>孔祥麟</t>
  </si>
  <si>
    <t>刘晨梦</t>
  </si>
  <si>
    <t>苏子茵</t>
  </si>
  <si>
    <t>吴媚</t>
  </si>
  <si>
    <t>苏秋同</t>
  </si>
  <si>
    <t>吉静</t>
  </si>
  <si>
    <t>韦琛思</t>
  </si>
  <si>
    <t>林铭</t>
  </si>
  <si>
    <t>林凡舒</t>
  </si>
  <si>
    <t>童菲</t>
  </si>
  <si>
    <t>傅楷文</t>
  </si>
  <si>
    <t>张亚琼</t>
  </si>
  <si>
    <t>符梦莹</t>
  </si>
  <si>
    <t>孔敏</t>
  </si>
  <si>
    <t>蔡依昵</t>
  </si>
  <si>
    <t>文凤婉</t>
  </si>
  <si>
    <t>祁晶晶</t>
  </si>
  <si>
    <t>王莉晶</t>
  </si>
  <si>
    <t>符芸芸</t>
  </si>
  <si>
    <t>贺玉金</t>
  </si>
  <si>
    <t>王珊妹</t>
  </si>
  <si>
    <t>田新园</t>
  </si>
  <si>
    <t>郑舒斤</t>
  </si>
  <si>
    <t>黄春颖</t>
  </si>
  <si>
    <t>文高莹</t>
  </si>
  <si>
    <t>呼茜</t>
  </si>
  <si>
    <t>符妍妍</t>
  </si>
  <si>
    <t>邓红佳</t>
  </si>
  <si>
    <t>柳雨希</t>
  </si>
  <si>
    <t>王锰莉</t>
  </si>
  <si>
    <t>李田田</t>
  </si>
  <si>
    <t>许钊敏</t>
  </si>
  <si>
    <t>陈妍婷</t>
  </si>
  <si>
    <t>庞琳</t>
  </si>
  <si>
    <t>李佳怡</t>
  </si>
  <si>
    <t>卓红莲</t>
  </si>
  <si>
    <t>丰婷婷</t>
  </si>
  <si>
    <t>黄菲</t>
  </si>
  <si>
    <t>齐星星</t>
  </si>
  <si>
    <t>吴青穗</t>
  </si>
  <si>
    <t>黄芳蕾</t>
  </si>
  <si>
    <t>蔡碧霜</t>
  </si>
  <si>
    <t>姚翠菁</t>
  </si>
  <si>
    <t>郑源</t>
  </si>
  <si>
    <t>符月莲</t>
  </si>
  <si>
    <t>钟世晶</t>
  </si>
  <si>
    <t>羊益梅</t>
  </si>
  <si>
    <t>叶思涵</t>
  </si>
  <si>
    <t>吴欢</t>
  </si>
  <si>
    <t>朱琳</t>
  </si>
  <si>
    <t>符蓓苗</t>
  </si>
  <si>
    <t>李柏莲</t>
  </si>
  <si>
    <t>李洁莹</t>
  </si>
  <si>
    <t>李芳敏</t>
  </si>
  <si>
    <t>梁小玉</t>
  </si>
  <si>
    <t>冯晓丽</t>
  </si>
  <si>
    <t>羊兰花</t>
  </si>
  <si>
    <t>李家钰</t>
  </si>
  <si>
    <t>陈振星</t>
  </si>
  <si>
    <t>吴丽玲</t>
  </si>
  <si>
    <t>张立营</t>
  </si>
  <si>
    <t>詹楚滢</t>
  </si>
  <si>
    <t>王凯婷</t>
  </si>
  <si>
    <t>王湘怡</t>
  </si>
  <si>
    <t>张莎莎</t>
  </si>
  <si>
    <t>郑慧慧</t>
  </si>
  <si>
    <t>黄海珍</t>
  </si>
  <si>
    <t>方喜揽</t>
  </si>
  <si>
    <t>黄昊</t>
  </si>
  <si>
    <t>詹彩洁</t>
  </si>
  <si>
    <t>陈曼莉</t>
  </si>
  <si>
    <t>杨杏杏</t>
  </si>
  <si>
    <t>郭冉冉</t>
  </si>
  <si>
    <t>陈泽果</t>
  </si>
  <si>
    <t>黄颖</t>
  </si>
  <si>
    <t>郭小贝</t>
  </si>
  <si>
    <t>任慧莹</t>
  </si>
  <si>
    <t>林月霞</t>
  </si>
  <si>
    <t>林小妹</t>
  </si>
  <si>
    <t>吴妃妃</t>
  </si>
  <si>
    <t>蔡於颖</t>
  </si>
  <si>
    <t>陈娇艳</t>
  </si>
  <si>
    <t>黎妙云</t>
  </si>
  <si>
    <t>冯露</t>
  </si>
  <si>
    <t>韩彩霞</t>
  </si>
  <si>
    <t>王梦影</t>
  </si>
  <si>
    <t>王宝银</t>
  </si>
  <si>
    <t>吴银柳</t>
  </si>
  <si>
    <t>郑梅束</t>
  </si>
  <si>
    <t>李金妹</t>
  </si>
  <si>
    <t>黄金秋</t>
  </si>
  <si>
    <t>刘咪</t>
  </si>
  <si>
    <t>羊明珠</t>
  </si>
  <si>
    <t>何小芳</t>
  </si>
  <si>
    <t>王思仪</t>
  </si>
  <si>
    <t>龙晶晶</t>
  </si>
  <si>
    <t>翁书玲</t>
  </si>
  <si>
    <t>叶芷辛</t>
  </si>
  <si>
    <t>卢铿妃</t>
  </si>
  <si>
    <t>刘静茹</t>
  </si>
  <si>
    <t>侯王晓</t>
  </si>
  <si>
    <t>卢芳雄</t>
  </si>
  <si>
    <t>羊蔡红</t>
  </si>
  <si>
    <t>王新芝</t>
  </si>
  <si>
    <t>许保智</t>
  </si>
  <si>
    <t>文方婷</t>
  </si>
  <si>
    <t>许看云</t>
  </si>
  <si>
    <t>符金于</t>
  </si>
  <si>
    <t>林珏谷</t>
  </si>
  <si>
    <t>陈日映</t>
  </si>
  <si>
    <t>杨紫涵</t>
  </si>
  <si>
    <t>韦洁</t>
  </si>
  <si>
    <t>陈恋群</t>
  </si>
  <si>
    <t>郑智方</t>
  </si>
  <si>
    <t>刘畅</t>
  </si>
  <si>
    <t>文丽苗</t>
  </si>
  <si>
    <t>陈星</t>
  </si>
  <si>
    <t>吴巧玲</t>
  </si>
  <si>
    <t>张燕冬</t>
  </si>
  <si>
    <t>李坤</t>
  </si>
  <si>
    <t>李叶子</t>
  </si>
  <si>
    <t>韩方盈</t>
  </si>
  <si>
    <t>黄燕蕊</t>
  </si>
  <si>
    <t>吴丽珠</t>
  </si>
  <si>
    <t>李海艳</t>
  </si>
  <si>
    <t>邱睿</t>
  </si>
  <si>
    <t>邓净尹</t>
  </si>
  <si>
    <t>吴忠珏</t>
  </si>
  <si>
    <t>陈茹莹</t>
  </si>
  <si>
    <t>郭伟伟</t>
  </si>
  <si>
    <t>唐惠敏</t>
  </si>
  <si>
    <t>杨怀</t>
  </si>
  <si>
    <t>严海燕</t>
  </si>
  <si>
    <t>符伟珍</t>
  </si>
  <si>
    <t>王胜丰</t>
  </si>
  <si>
    <t>王文曼</t>
  </si>
  <si>
    <t>黄晓婷</t>
  </si>
  <si>
    <t>李林青</t>
  </si>
  <si>
    <t>黎传微</t>
  </si>
  <si>
    <t>蒋玥珩</t>
  </si>
  <si>
    <t>王淑祯</t>
  </si>
  <si>
    <t>苏朝霓</t>
  </si>
  <si>
    <t>梅利</t>
  </si>
  <si>
    <t>林娇慧</t>
  </si>
  <si>
    <t>高静文</t>
  </si>
  <si>
    <t>云娜</t>
  </si>
  <si>
    <t>帅倩芳</t>
  </si>
  <si>
    <t>符锡垦</t>
  </si>
  <si>
    <t>黄少叶</t>
  </si>
  <si>
    <t>王露娜</t>
  </si>
  <si>
    <t>张玉妹</t>
  </si>
  <si>
    <t>郭小霞</t>
  </si>
  <si>
    <t>周和芳</t>
  </si>
  <si>
    <t>宋紫翔</t>
  </si>
  <si>
    <t>符方婷</t>
  </si>
  <si>
    <t>陈辉苗</t>
  </si>
  <si>
    <t>吴杭</t>
  </si>
  <si>
    <t>王诗雅</t>
  </si>
  <si>
    <t>陈凤</t>
  </si>
  <si>
    <t>符紫菱</t>
  </si>
  <si>
    <t>朱琳芳婧</t>
  </si>
  <si>
    <t>王秀娜</t>
  </si>
  <si>
    <t>陈贤雅</t>
  </si>
  <si>
    <t>陈春蔓</t>
  </si>
  <si>
    <t>王巧</t>
  </si>
  <si>
    <t>邹沈丽</t>
  </si>
  <si>
    <t>黄秋慧</t>
  </si>
  <si>
    <t>王慧香</t>
  </si>
  <si>
    <t>梁莹</t>
  </si>
  <si>
    <t>吴悦妮</t>
  </si>
  <si>
    <t>刘志宏</t>
  </si>
  <si>
    <t>王林岚</t>
  </si>
  <si>
    <t>韩红妃</t>
  </si>
  <si>
    <t>邓琴琴</t>
  </si>
  <si>
    <t>袁野</t>
  </si>
  <si>
    <t>王雨微</t>
  </si>
  <si>
    <t>王婕妤</t>
  </si>
  <si>
    <t>许红豆</t>
  </si>
  <si>
    <t>林丽洁</t>
  </si>
  <si>
    <t>冉晗嘉</t>
  </si>
  <si>
    <t>鲁禹君</t>
  </si>
  <si>
    <t>邢增姑</t>
  </si>
  <si>
    <t>王琪琪</t>
  </si>
  <si>
    <t>游蕊华</t>
  </si>
  <si>
    <t>苏雨欣</t>
  </si>
  <si>
    <t>麦子雯</t>
  </si>
  <si>
    <t>卢泓伊</t>
  </si>
  <si>
    <t>刘秋圆</t>
  </si>
  <si>
    <t>赵茜茹</t>
  </si>
  <si>
    <t>符春庆</t>
  </si>
  <si>
    <t>毛阿敏</t>
  </si>
  <si>
    <t>王春晓</t>
  </si>
  <si>
    <t>王银锚</t>
  </si>
  <si>
    <t>谢凤妹</t>
  </si>
  <si>
    <t>陈爱男</t>
  </si>
  <si>
    <t>邱小颜</t>
  </si>
  <si>
    <t>陈冰冰</t>
  </si>
  <si>
    <t>张欣惠</t>
  </si>
  <si>
    <t>蓝晶晶</t>
  </si>
  <si>
    <t>李安琪</t>
  </si>
  <si>
    <t>陈夏惠</t>
  </si>
  <si>
    <t>许云航</t>
  </si>
  <si>
    <t>王禄临</t>
  </si>
  <si>
    <t>罗晓玥</t>
  </si>
  <si>
    <t>苏佳苗</t>
  </si>
  <si>
    <t>江夏茹</t>
  </si>
  <si>
    <t>蔡微微</t>
  </si>
  <si>
    <t>陈振晴</t>
  </si>
  <si>
    <t>冯大娇</t>
  </si>
  <si>
    <t>吴依倩</t>
  </si>
  <si>
    <t>王妙婉</t>
  </si>
  <si>
    <t>王琼慧</t>
  </si>
  <si>
    <t>桂卫丽</t>
  </si>
  <si>
    <t>陈怡瑾</t>
  </si>
  <si>
    <t>黄秋梅</t>
  </si>
  <si>
    <t>邓小红</t>
  </si>
  <si>
    <t>邢雯雅</t>
  </si>
  <si>
    <t>史文苗</t>
  </si>
  <si>
    <t>符璐</t>
  </si>
  <si>
    <t>王小莉</t>
  </si>
  <si>
    <t>吴广英</t>
  </si>
  <si>
    <t>梁盈盈</t>
  </si>
  <si>
    <t>邵心如</t>
  </si>
  <si>
    <t>符小娟</t>
  </si>
  <si>
    <t>羊美官</t>
  </si>
  <si>
    <t>杨惠晶</t>
  </si>
  <si>
    <t>符丽霞</t>
  </si>
  <si>
    <t>麦忆倩</t>
  </si>
  <si>
    <t>吴艳红</t>
  </si>
  <si>
    <t>杨月</t>
  </si>
  <si>
    <t>吴清冰</t>
  </si>
  <si>
    <t>段小红</t>
  </si>
  <si>
    <t>田梦雅</t>
  </si>
  <si>
    <t>潘春洁</t>
  </si>
  <si>
    <t>云潇慧</t>
  </si>
  <si>
    <t>吴小佳</t>
  </si>
  <si>
    <t>马滢</t>
  </si>
  <si>
    <t>李曼琪</t>
  </si>
  <si>
    <t>冯芷菁</t>
  </si>
  <si>
    <t>王程</t>
  </si>
  <si>
    <t>符丁文</t>
  </si>
  <si>
    <t>郭佳佳</t>
  </si>
  <si>
    <t>刘小青</t>
  </si>
  <si>
    <t>罗靖薇</t>
  </si>
  <si>
    <t>程雪</t>
  </si>
  <si>
    <t>林柳</t>
  </si>
  <si>
    <t>陈晶晶</t>
  </si>
  <si>
    <t>薛姑美</t>
  </si>
  <si>
    <t>唐文婕</t>
  </si>
  <si>
    <t>云晓蕾</t>
  </si>
  <si>
    <t>农惠婷</t>
  </si>
  <si>
    <t>董宇柱</t>
  </si>
  <si>
    <t>曲淼</t>
  </si>
  <si>
    <t>许慧稳</t>
  </si>
  <si>
    <t>陈洁银</t>
  </si>
  <si>
    <t>张娇娇</t>
  </si>
  <si>
    <t>潘菓</t>
  </si>
  <si>
    <t>周芷芸</t>
  </si>
  <si>
    <t>赵子欣</t>
  </si>
  <si>
    <t>陈梦君</t>
  </si>
  <si>
    <t>谢诗珺</t>
  </si>
  <si>
    <t>张雨云</t>
  </si>
  <si>
    <t>刘丽香</t>
  </si>
  <si>
    <t>符秀凤</t>
  </si>
  <si>
    <t>文婷</t>
  </si>
  <si>
    <t>高宁</t>
  </si>
  <si>
    <t>龚俊星</t>
  </si>
  <si>
    <t>侯姚瑶</t>
  </si>
  <si>
    <t>吴玉泉</t>
  </si>
  <si>
    <t>羊秀恋</t>
  </si>
  <si>
    <t>王红艳</t>
  </si>
  <si>
    <t>王心迅</t>
  </si>
  <si>
    <t>杨阁</t>
  </si>
  <si>
    <t>黄春</t>
  </si>
  <si>
    <t>李冬燕</t>
  </si>
  <si>
    <t>林雨</t>
  </si>
  <si>
    <t>谢雨欣</t>
  </si>
  <si>
    <t>王冰</t>
  </si>
  <si>
    <t>罗童心</t>
  </si>
  <si>
    <t>胡国书</t>
  </si>
  <si>
    <t>麦小欢</t>
  </si>
  <si>
    <t>张金样</t>
  </si>
  <si>
    <t>蒙娜</t>
  </si>
  <si>
    <t>甘晓静</t>
  </si>
  <si>
    <t>王瑞</t>
  </si>
  <si>
    <t>黄鑫</t>
  </si>
  <si>
    <t>莫娜</t>
  </si>
  <si>
    <t>冯荣莲</t>
  </si>
  <si>
    <t>吴晓青</t>
  </si>
  <si>
    <t>王妤</t>
  </si>
  <si>
    <t>罗曼玉</t>
  </si>
  <si>
    <t>李咏琪</t>
  </si>
  <si>
    <t>张瑜</t>
  </si>
  <si>
    <t>郭义妹</t>
  </si>
  <si>
    <t>臧会双</t>
  </si>
  <si>
    <t>金娜</t>
  </si>
  <si>
    <t>李沙沙</t>
  </si>
  <si>
    <t>李小英</t>
  </si>
  <si>
    <t>邓雪桃</t>
  </si>
  <si>
    <t>蔡异聪</t>
  </si>
  <si>
    <t>孔香艳</t>
  </si>
  <si>
    <t>黄秀紫</t>
  </si>
  <si>
    <t>符慧</t>
  </si>
  <si>
    <t>黎燕花</t>
  </si>
  <si>
    <t>符玉婷</t>
  </si>
  <si>
    <t>邬锦春</t>
  </si>
  <si>
    <t>肖禹亭</t>
  </si>
  <si>
    <t>吴丽转</t>
  </si>
  <si>
    <t>王晓菲</t>
  </si>
  <si>
    <t>吴柳颖</t>
  </si>
  <si>
    <t>王秀玲</t>
  </si>
  <si>
    <t>许秋雅</t>
  </si>
  <si>
    <t>张欢</t>
  </si>
  <si>
    <t>赵发花</t>
  </si>
  <si>
    <t>何映雪</t>
  </si>
  <si>
    <t>陈欣怡</t>
  </si>
  <si>
    <t>程樱</t>
  </si>
  <si>
    <t>林桂梅</t>
  </si>
  <si>
    <t>张蕙</t>
  </si>
  <si>
    <t>杜和明</t>
  </si>
  <si>
    <t>方玉</t>
  </si>
  <si>
    <t>黎穗</t>
  </si>
  <si>
    <t>林欣颖</t>
  </si>
  <si>
    <t>赵海生</t>
  </si>
  <si>
    <t>雷玉虹</t>
  </si>
  <si>
    <t>郑莉彬</t>
  </si>
  <si>
    <t>林声君</t>
  </si>
  <si>
    <t>王紫馨</t>
  </si>
  <si>
    <t>陈舒阳</t>
  </si>
  <si>
    <t>邢仙</t>
  </si>
  <si>
    <t>黄晶</t>
  </si>
  <si>
    <t>王袁丽</t>
  </si>
  <si>
    <t>薛冬雪</t>
  </si>
  <si>
    <t>李文浩</t>
  </si>
  <si>
    <t>韩怡</t>
  </si>
  <si>
    <t>薛冬萍</t>
  </si>
  <si>
    <t>黄金恋</t>
  </si>
  <si>
    <t>曾辉</t>
  </si>
  <si>
    <t>徐雪秀</t>
  </si>
  <si>
    <t>黎昱杉</t>
  </si>
  <si>
    <t>陈姝妍</t>
  </si>
  <si>
    <t>黄云清</t>
  </si>
  <si>
    <t>李精慧</t>
  </si>
  <si>
    <t>吴灿</t>
  </si>
  <si>
    <t>翁文翠</t>
  </si>
  <si>
    <t>严小滢</t>
  </si>
  <si>
    <t>王彬</t>
  </si>
  <si>
    <t>陈晓欢</t>
  </si>
  <si>
    <t>谢春芳</t>
  </si>
  <si>
    <t>唐聪霞</t>
  </si>
  <si>
    <t>孙井娜</t>
  </si>
  <si>
    <t>张龚渚梓</t>
  </si>
  <si>
    <t>陈文耀</t>
  </si>
  <si>
    <t>林小湾</t>
  </si>
  <si>
    <t>许婉</t>
  </si>
  <si>
    <t>王硕嘉</t>
  </si>
  <si>
    <t>林益花</t>
  </si>
  <si>
    <t>李茂运</t>
  </si>
  <si>
    <t>邢砚晶</t>
  </si>
  <si>
    <t>羊庆彩</t>
  </si>
  <si>
    <t>王梦珍</t>
  </si>
  <si>
    <t>黄月娥</t>
  </si>
  <si>
    <t>符歆怡</t>
  </si>
  <si>
    <t>马芳青</t>
  </si>
  <si>
    <t>陈小月</t>
  </si>
  <si>
    <t>曾少玲</t>
  </si>
  <si>
    <t>易惠蔓</t>
  </si>
  <si>
    <t>黄俊怡</t>
  </si>
  <si>
    <t>林红杏</t>
  </si>
  <si>
    <t>潘秋芳</t>
  </si>
  <si>
    <t>王慧莹</t>
  </si>
  <si>
    <t>麦曼娟</t>
  </si>
  <si>
    <t>黄华帅</t>
  </si>
  <si>
    <t>潘科言</t>
  </si>
  <si>
    <t>李垣昕</t>
  </si>
  <si>
    <t>邓文鑫</t>
  </si>
  <si>
    <t>陈云芳</t>
  </si>
  <si>
    <t>郑亚雅</t>
  </si>
  <si>
    <t>周艳娜</t>
  </si>
  <si>
    <t>刘楠</t>
  </si>
  <si>
    <t>陈曦</t>
  </si>
  <si>
    <t>韩云娴</t>
  </si>
  <si>
    <t>冼淑云</t>
  </si>
  <si>
    <t>郑华卿</t>
  </si>
  <si>
    <t>钟富琴</t>
  </si>
  <si>
    <t>谢雨</t>
  </si>
  <si>
    <t>唐诗雨</t>
  </si>
  <si>
    <t>陈玉杏</t>
  </si>
  <si>
    <t>陈晓娟</t>
  </si>
  <si>
    <t>王欢</t>
  </si>
  <si>
    <t>梁帆</t>
  </si>
  <si>
    <t>孟丽君</t>
  </si>
  <si>
    <t>苏文玲</t>
  </si>
  <si>
    <t>文微</t>
  </si>
  <si>
    <t>王中慧</t>
  </si>
  <si>
    <t>杨雪茗</t>
  </si>
  <si>
    <t>李密</t>
  </si>
  <si>
    <t>黎贞汝</t>
  </si>
  <si>
    <t>吴姗</t>
  </si>
  <si>
    <t>吴慧芳</t>
  </si>
  <si>
    <t>洪觉夏</t>
  </si>
  <si>
    <t>贾宪</t>
  </si>
  <si>
    <t>李金师</t>
  </si>
  <si>
    <t>叶琳</t>
  </si>
  <si>
    <t>陈如</t>
  </si>
  <si>
    <t>黄美玲</t>
  </si>
  <si>
    <t>邓秋霞</t>
  </si>
  <si>
    <t>卢传春</t>
  </si>
  <si>
    <t>刘姝泽</t>
  </si>
  <si>
    <t>符容瑛</t>
  </si>
  <si>
    <t>王献杰</t>
  </si>
  <si>
    <t>林仙</t>
  </si>
  <si>
    <t>杨莹莹</t>
  </si>
  <si>
    <t>陈汝萍</t>
  </si>
  <si>
    <t>廖莉蓉</t>
  </si>
  <si>
    <t>张梦莹</t>
  </si>
  <si>
    <t>王丽珍</t>
  </si>
  <si>
    <t>周子琳</t>
  </si>
  <si>
    <t>潘婕</t>
  </si>
  <si>
    <t>祝梓浩</t>
  </si>
  <si>
    <t>蔡尾玉</t>
  </si>
  <si>
    <t>吴泽敏</t>
  </si>
  <si>
    <t>王海桥</t>
  </si>
  <si>
    <t>房玉欢</t>
  </si>
  <si>
    <t>李雅洁</t>
  </si>
  <si>
    <t>温淑汝</t>
  </si>
  <si>
    <t>陈丽丽</t>
  </si>
  <si>
    <t>符风鸾</t>
  </si>
  <si>
    <t>王海浪</t>
  </si>
  <si>
    <t>肖雅</t>
  </si>
  <si>
    <t>王小容</t>
  </si>
  <si>
    <t>符珠岁</t>
  </si>
  <si>
    <t>孙如意</t>
  </si>
  <si>
    <t>陈月美</t>
  </si>
  <si>
    <t>冯妃</t>
  </si>
  <si>
    <t>符秀姑</t>
  </si>
  <si>
    <t>赵梦璐</t>
  </si>
  <si>
    <t>邓文慧</t>
  </si>
  <si>
    <t>李友萍</t>
  </si>
  <si>
    <t>芦韦</t>
  </si>
  <si>
    <t>陈小莲</t>
  </si>
  <si>
    <t>江柯</t>
  </si>
  <si>
    <t>王鑫花</t>
  </si>
  <si>
    <t>文馨</t>
  </si>
  <si>
    <t>林金娇</t>
  </si>
  <si>
    <t>江燕华</t>
  </si>
  <si>
    <t>庄冰淇</t>
  </si>
  <si>
    <t>周珊珊</t>
  </si>
  <si>
    <t>符芳秀</t>
  </si>
  <si>
    <t>符方方</t>
  </si>
  <si>
    <t>唐艺益</t>
  </si>
  <si>
    <t>吴清馨</t>
  </si>
  <si>
    <t>王丽霞</t>
  </si>
  <si>
    <t>韩金邑</t>
  </si>
  <si>
    <t>杜婷嫣</t>
  </si>
  <si>
    <t>何泽林</t>
  </si>
  <si>
    <t>何仁辉</t>
  </si>
  <si>
    <t>胡梅</t>
  </si>
  <si>
    <t>何阿暖</t>
  </si>
  <si>
    <t>文子婧</t>
  </si>
  <si>
    <t>陈慧莹</t>
  </si>
  <si>
    <t>凌子楣</t>
  </si>
  <si>
    <t>黑宇婷</t>
  </si>
  <si>
    <t>张榆悦</t>
  </si>
  <si>
    <t>李菲</t>
  </si>
  <si>
    <t>梁亚团</t>
  </si>
  <si>
    <t>曾第</t>
  </si>
  <si>
    <t>曾佳仪</t>
  </si>
  <si>
    <t>朱莹</t>
  </si>
  <si>
    <t>韦晓帆</t>
  </si>
  <si>
    <t>符施怡</t>
  </si>
  <si>
    <t>梁钧岑</t>
  </si>
  <si>
    <t>黎秋丽</t>
  </si>
  <si>
    <t>张少艳</t>
  </si>
  <si>
    <t>韦静文</t>
  </si>
  <si>
    <t>韦凤秀</t>
  </si>
  <si>
    <t>许志伦</t>
  </si>
  <si>
    <t>吴婉婷</t>
  </si>
  <si>
    <t>郑淑婉</t>
  </si>
  <si>
    <t>胡正果</t>
  </si>
  <si>
    <t>彭程</t>
  </si>
  <si>
    <t>符运伟</t>
  </si>
  <si>
    <t>黄芬芬</t>
  </si>
  <si>
    <t>文真真</t>
  </si>
  <si>
    <t>王业业</t>
  </si>
  <si>
    <t>林世萍</t>
  </si>
  <si>
    <t>黄梓暄</t>
  </si>
  <si>
    <t>咸麟</t>
  </si>
  <si>
    <t>邝小艳</t>
  </si>
  <si>
    <t>黄雁瑜</t>
  </si>
  <si>
    <t>符荣翎</t>
  </si>
  <si>
    <t>卞卡娜</t>
  </si>
  <si>
    <t>陈苑瑜</t>
  </si>
  <si>
    <t>郑慧琴</t>
  </si>
  <si>
    <t>李梅</t>
  </si>
  <si>
    <t>吴晓霞</t>
  </si>
  <si>
    <t>谢梦静</t>
  </si>
  <si>
    <t>吴碧丹</t>
  </si>
  <si>
    <t>陈香宇</t>
  </si>
  <si>
    <t>韦彬华</t>
  </si>
  <si>
    <t>李彦润</t>
  </si>
  <si>
    <t>詹文璠</t>
  </si>
  <si>
    <t>许玉娜</t>
  </si>
  <si>
    <t>岑媛</t>
  </si>
  <si>
    <t>裴安丽</t>
  </si>
  <si>
    <t>李盼盼</t>
  </si>
  <si>
    <t>陈紫靖</t>
  </si>
  <si>
    <t>蔡彬彬</t>
  </si>
  <si>
    <t>邢昙坛</t>
  </si>
  <si>
    <t>孔思云</t>
  </si>
  <si>
    <t>黄菁华</t>
  </si>
  <si>
    <t>唐婕</t>
  </si>
  <si>
    <t>云文婵</t>
  </si>
  <si>
    <t>林之宜</t>
  </si>
  <si>
    <t>叶夏雅</t>
  </si>
  <si>
    <t>李柏林</t>
  </si>
  <si>
    <t>李越</t>
  </si>
  <si>
    <t>符钰月</t>
  </si>
  <si>
    <t>黄美惠</t>
  </si>
  <si>
    <t>侯雪江</t>
  </si>
  <si>
    <t>刘娅妮</t>
  </si>
  <si>
    <t>杨碧娜</t>
  </si>
  <si>
    <t>韩嫚</t>
  </si>
  <si>
    <t>高山清</t>
  </si>
  <si>
    <t>潘诗妍</t>
  </si>
  <si>
    <t>陈熙文</t>
  </si>
  <si>
    <t>杨梅</t>
  </si>
  <si>
    <t>许儒莲</t>
  </si>
  <si>
    <t>陈太如</t>
  </si>
  <si>
    <t>吴晓雪</t>
  </si>
  <si>
    <t>杜炜</t>
  </si>
  <si>
    <t>李哲</t>
  </si>
  <si>
    <t>黄玉山</t>
  </si>
  <si>
    <t>王海霞</t>
  </si>
  <si>
    <t>黄吉平</t>
  </si>
  <si>
    <t>陈丽莹</t>
  </si>
  <si>
    <t>陈小满</t>
  </si>
  <si>
    <t>邢维雯</t>
  </si>
  <si>
    <t>黎洁</t>
  </si>
  <si>
    <t>陈慧婕</t>
  </si>
  <si>
    <t>兰田靖</t>
  </si>
  <si>
    <t>陈守娟</t>
  </si>
  <si>
    <t>刘广正</t>
  </si>
  <si>
    <t>吴显慧</t>
  </si>
  <si>
    <t>何秋</t>
  </si>
  <si>
    <t>王欣慧</t>
  </si>
  <si>
    <t>何梦茹</t>
  </si>
  <si>
    <t>李畅</t>
  </si>
  <si>
    <t>郑顺彩</t>
  </si>
  <si>
    <t>杨小香</t>
  </si>
  <si>
    <t>董筱雯</t>
  </si>
  <si>
    <t>许罗丹</t>
  </si>
  <si>
    <t>周春伶</t>
  </si>
  <si>
    <t>吴克娥</t>
  </si>
  <si>
    <t>吴燕</t>
  </si>
  <si>
    <t>吉才燕</t>
  </si>
  <si>
    <t>翁美灵</t>
  </si>
  <si>
    <t>曹玉丹</t>
  </si>
  <si>
    <t>张婉营</t>
  </si>
  <si>
    <t>吴珍妮</t>
  </si>
  <si>
    <t>劳秀爰</t>
  </si>
  <si>
    <t>俞海铖</t>
  </si>
  <si>
    <t>陈子妍</t>
  </si>
  <si>
    <t>韩丹丹</t>
  </si>
  <si>
    <t>符海玉</t>
  </si>
  <si>
    <t>周理</t>
  </si>
  <si>
    <t>韩晶晶</t>
  </si>
  <si>
    <t>万敏</t>
  </si>
  <si>
    <t>韩欣霖</t>
  </si>
  <si>
    <t>刘佳鑫</t>
  </si>
  <si>
    <t>冯小妹</t>
  </si>
  <si>
    <t>符方静</t>
  </si>
  <si>
    <t>朱丽欣</t>
  </si>
  <si>
    <t>林青滢</t>
  </si>
  <si>
    <t>石威</t>
  </si>
  <si>
    <t>吴婕</t>
  </si>
  <si>
    <t>韩艳虹</t>
  </si>
  <si>
    <t>莫儒诗</t>
  </si>
  <si>
    <t>符莉婵</t>
  </si>
  <si>
    <t>陈婉青</t>
  </si>
  <si>
    <t>吴靖萱</t>
  </si>
  <si>
    <t>李小乾</t>
  </si>
  <si>
    <t>李玢迪</t>
  </si>
  <si>
    <t>游子心</t>
  </si>
  <si>
    <t>王业林</t>
  </si>
  <si>
    <t>陈泰琦</t>
  </si>
  <si>
    <t>曾晶</t>
  </si>
  <si>
    <t>苏姿羽</t>
  </si>
  <si>
    <t>吴金萍</t>
  </si>
  <si>
    <t>张智琪</t>
  </si>
  <si>
    <t>易孝文</t>
  </si>
  <si>
    <t>李春儒</t>
  </si>
  <si>
    <t>吴燕萍</t>
  </si>
  <si>
    <t>雷妙羽</t>
  </si>
  <si>
    <t>钟敏妮</t>
  </si>
  <si>
    <t>黄永芳</t>
  </si>
  <si>
    <t>黄燕华</t>
  </si>
  <si>
    <t>施婷婷</t>
  </si>
  <si>
    <t>潘倩倩</t>
  </si>
  <si>
    <t>谭慧洁</t>
  </si>
  <si>
    <t>王刚</t>
  </si>
  <si>
    <t>廖廷秋</t>
  </si>
  <si>
    <t>李朝</t>
  </si>
  <si>
    <t>冯佳</t>
  </si>
  <si>
    <t>叶红蕊</t>
  </si>
  <si>
    <t>郭小榴</t>
  </si>
  <si>
    <t>詹美清</t>
  </si>
  <si>
    <t>臧家田</t>
  </si>
  <si>
    <t>黄海丽</t>
  </si>
  <si>
    <t>许诺</t>
  </si>
  <si>
    <t>冷姗姗</t>
  </si>
  <si>
    <t>吴林璐</t>
  </si>
  <si>
    <t>孟宇翔</t>
  </si>
  <si>
    <t>李乾兰</t>
  </si>
  <si>
    <t>张娴</t>
  </si>
  <si>
    <t>紫诗雨</t>
  </si>
  <si>
    <t>夏一霄</t>
  </si>
  <si>
    <t>闫铁鑫</t>
  </si>
  <si>
    <t>董朝咪</t>
  </si>
  <si>
    <t>甘璐娜</t>
  </si>
  <si>
    <t>姜小环</t>
  </si>
  <si>
    <t>肖水萍</t>
  </si>
  <si>
    <t>刘娟</t>
  </si>
  <si>
    <t>伍少嘉</t>
  </si>
  <si>
    <t>吴春强</t>
  </si>
  <si>
    <t>王乙琳</t>
  </si>
  <si>
    <t>孙雯雯</t>
  </si>
  <si>
    <t>陈珺娴</t>
  </si>
  <si>
    <t>王金</t>
  </si>
  <si>
    <t>冯茵</t>
  </si>
  <si>
    <t>梁珊</t>
  </si>
  <si>
    <t>邢雯雯</t>
  </si>
  <si>
    <t>黄玉春</t>
  </si>
  <si>
    <t>杨丽芳</t>
  </si>
  <si>
    <t>洪海花</t>
  </si>
  <si>
    <t>王兆仪</t>
  </si>
  <si>
    <t>王璐莹</t>
  </si>
  <si>
    <t>万容</t>
  </si>
  <si>
    <t>林梅娟</t>
  </si>
  <si>
    <t>张海珍</t>
  </si>
  <si>
    <t>詹健宁</t>
  </si>
  <si>
    <t>黄如露</t>
  </si>
  <si>
    <t>林丽菊</t>
  </si>
  <si>
    <t>赵爱花</t>
  </si>
  <si>
    <t>詹佳</t>
  </si>
  <si>
    <t>黄雪珍</t>
  </si>
  <si>
    <t>张伟琦</t>
  </si>
  <si>
    <t>李燕萍</t>
  </si>
  <si>
    <t>顾思琪</t>
  </si>
  <si>
    <t>文昌婷</t>
  </si>
  <si>
    <t>何彦仪</t>
  </si>
  <si>
    <t>陈亮</t>
  </si>
  <si>
    <t>叶艳华</t>
  </si>
  <si>
    <t>王正</t>
  </si>
  <si>
    <t>王颖颖</t>
  </si>
  <si>
    <t>刘应彩</t>
  </si>
  <si>
    <t>冯宣华</t>
  </si>
  <si>
    <t>覃春玉</t>
  </si>
  <si>
    <t>吴雪</t>
  </si>
  <si>
    <t>陈红叶</t>
  </si>
  <si>
    <t>陈康苗</t>
  </si>
  <si>
    <t>王乙舒</t>
  </si>
  <si>
    <t>王圆圆</t>
  </si>
  <si>
    <t>张芳芳</t>
  </si>
  <si>
    <t>吴庆雯</t>
  </si>
  <si>
    <t>许婷玉</t>
  </si>
  <si>
    <t>张兰</t>
  </si>
  <si>
    <t>吴菊丽</t>
  </si>
  <si>
    <t>陈俊婷</t>
  </si>
  <si>
    <t>杨佳佳</t>
  </si>
  <si>
    <t>洪月珍</t>
  </si>
  <si>
    <t>刘诗雅</t>
  </si>
  <si>
    <t>杜静</t>
  </si>
  <si>
    <t>王惠琳</t>
  </si>
  <si>
    <t>李小梅</t>
  </si>
  <si>
    <t>叶绵荣</t>
  </si>
  <si>
    <t>林凌</t>
  </si>
  <si>
    <t>王幸子</t>
  </si>
  <si>
    <t>郑乔尹</t>
  </si>
  <si>
    <t>周思萌</t>
  </si>
  <si>
    <t>容智莲</t>
  </si>
  <si>
    <t>曾丽霖</t>
  </si>
  <si>
    <t>马辉涛</t>
  </si>
  <si>
    <t>陈云娜</t>
  </si>
  <si>
    <t>陈雅婷</t>
  </si>
  <si>
    <t>龙濡</t>
  </si>
  <si>
    <t>陈杨蕊</t>
  </si>
  <si>
    <t>丁楠</t>
  </si>
  <si>
    <t>王南丁</t>
  </si>
  <si>
    <t>孟睫雅</t>
  </si>
  <si>
    <t>许媚媚</t>
  </si>
  <si>
    <t>张运敏</t>
  </si>
  <si>
    <t>李时雅</t>
  </si>
  <si>
    <t>李晓楠</t>
  </si>
  <si>
    <t>刘小坤</t>
  </si>
  <si>
    <t>吴慧珍</t>
  </si>
  <si>
    <t>董玉妍</t>
  </si>
  <si>
    <t>彭晓芳</t>
  </si>
  <si>
    <t>许静文</t>
  </si>
  <si>
    <t xml:space="preserve"> 周孙冰</t>
  </si>
  <si>
    <t>陈润</t>
  </si>
  <si>
    <t>王莹菁</t>
  </si>
  <si>
    <t>陈静雯</t>
  </si>
  <si>
    <t>高雨飘</t>
  </si>
  <si>
    <t>邢可欣</t>
  </si>
  <si>
    <t>郭珊珊</t>
  </si>
  <si>
    <t>曾晨</t>
  </si>
  <si>
    <t>卓菁菁</t>
  </si>
  <si>
    <t>李肖玫</t>
  </si>
  <si>
    <t>符小翠</t>
  </si>
  <si>
    <t>王芳婷</t>
  </si>
  <si>
    <t>王漫女</t>
  </si>
  <si>
    <t>薛秀玲</t>
  </si>
  <si>
    <t>王丽荟</t>
  </si>
  <si>
    <t>陈业瑶</t>
  </si>
  <si>
    <t>陈思晖</t>
  </si>
  <si>
    <t>王均</t>
  </si>
  <si>
    <t>陈洵贞</t>
  </si>
  <si>
    <t>潘玉茹</t>
  </si>
  <si>
    <t>王姿</t>
  </si>
  <si>
    <t>王美虹</t>
  </si>
  <si>
    <t>陈文云</t>
  </si>
  <si>
    <t>陈积媛</t>
  </si>
  <si>
    <t>林彦敏</t>
  </si>
  <si>
    <t>卓金霞</t>
  </si>
  <si>
    <t>薛乾桃</t>
  </si>
  <si>
    <t>钟永莹</t>
  </si>
  <si>
    <t>王会会</t>
  </si>
  <si>
    <t>李昕瑾</t>
  </si>
  <si>
    <t>许嘉怡</t>
  </si>
  <si>
    <t>陈兰午</t>
  </si>
  <si>
    <t>王琛</t>
  </si>
  <si>
    <t>邢雅乔</t>
  </si>
  <si>
    <t>吴启慧</t>
  </si>
  <si>
    <t>王秋秋</t>
  </si>
  <si>
    <t>方少艾</t>
  </si>
  <si>
    <t>欧美仪</t>
  </si>
  <si>
    <t>朱伊敏</t>
  </si>
  <si>
    <t>罗鸿雁</t>
  </si>
  <si>
    <t>邓小豪</t>
  </si>
  <si>
    <t>胡徽媛</t>
  </si>
  <si>
    <t>张昊</t>
  </si>
  <si>
    <t>云杏芳</t>
  </si>
  <si>
    <t>吴华彩</t>
  </si>
  <si>
    <t>石家慧</t>
  </si>
  <si>
    <t>齐曼</t>
  </si>
  <si>
    <t>吴雪芳</t>
  </si>
  <si>
    <t>肖德建</t>
  </si>
  <si>
    <t>司慧敏</t>
  </si>
  <si>
    <t>梁珊珊</t>
  </si>
  <si>
    <t>毛冬梅</t>
  </si>
  <si>
    <t>陈卓仪</t>
  </si>
  <si>
    <t>吴文娇</t>
  </si>
  <si>
    <t>朱江萱</t>
  </si>
  <si>
    <t>罗锳</t>
  </si>
  <si>
    <t>符卜英</t>
  </si>
  <si>
    <t>郎朗</t>
  </si>
  <si>
    <t>吴俊祥</t>
  </si>
  <si>
    <t>陈玉湲</t>
  </si>
  <si>
    <t>杜珅源</t>
  </si>
  <si>
    <t>邓玉燕</t>
  </si>
  <si>
    <t>林成娜</t>
  </si>
  <si>
    <t>王琼悦</t>
  </si>
  <si>
    <t>羊俊萍</t>
  </si>
  <si>
    <t>陈思雨</t>
  </si>
  <si>
    <t>黄可欣</t>
  </si>
  <si>
    <t>黄媚</t>
  </si>
  <si>
    <t>羊爱金</t>
  </si>
  <si>
    <t>林雪玲</t>
  </si>
  <si>
    <t>廖静懿</t>
  </si>
  <si>
    <t>成莉莉</t>
  </si>
  <si>
    <t>麦晓星</t>
  </si>
  <si>
    <t>邢棠棠</t>
  </si>
  <si>
    <t>胡丽萍</t>
  </si>
  <si>
    <t>张丽薇</t>
  </si>
  <si>
    <t>杜金凤</t>
  </si>
  <si>
    <t>张海慧</t>
  </si>
  <si>
    <t>林慧</t>
  </si>
  <si>
    <t>李孟珂</t>
  </si>
  <si>
    <t>梁艳花</t>
  </si>
  <si>
    <t>丁丽霞</t>
  </si>
  <si>
    <t>杨惠</t>
  </si>
  <si>
    <t>邓婉靖</t>
  </si>
  <si>
    <t>蔡心怡</t>
  </si>
  <si>
    <t>徐倩</t>
  </si>
  <si>
    <t>陈春雨</t>
  </si>
  <si>
    <t>王苇茹</t>
  </si>
  <si>
    <t>赵仪祯</t>
  </si>
  <si>
    <t>符倩瑜</t>
  </si>
  <si>
    <t>梁小冰</t>
  </si>
  <si>
    <t>李孟凡</t>
  </si>
  <si>
    <t>陆姝伶</t>
  </si>
  <si>
    <t>吕仙妹</t>
  </si>
  <si>
    <t>林利萍</t>
  </si>
  <si>
    <t>李莹</t>
  </si>
  <si>
    <t>古庭玮</t>
  </si>
  <si>
    <t>谢丽萍</t>
  </si>
  <si>
    <t>王灵巧</t>
  </si>
  <si>
    <t>张琰琰</t>
  </si>
  <si>
    <t>蒋诗莉</t>
  </si>
  <si>
    <t>严梁慧</t>
  </si>
  <si>
    <t>戴蕾</t>
  </si>
  <si>
    <t>潘星颖</t>
  </si>
  <si>
    <t>李美薇</t>
  </si>
  <si>
    <t>关荣翠</t>
  </si>
  <si>
    <t>付泽亮</t>
  </si>
  <si>
    <t>李蒲</t>
  </si>
  <si>
    <t>黄贝怡</t>
  </si>
  <si>
    <t>孙芮</t>
  </si>
  <si>
    <t>符有领</t>
  </si>
  <si>
    <t>张嫣茹</t>
  </si>
  <si>
    <t>甘翔宇</t>
  </si>
  <si>
    <t>黄琬婷</t>
  </si>
  <si>
    <t>符心茹</t>
  </si>
  <si>
    <t>陶诗雨</t>
  </si>
  <si>
    <t>黄竹音</t>
  </si>
  <si>
    <t>文新芬</t>
  </si>
  <si>
    <t>李春菊</t>
  </si>
  <si>
    <t>黄小凤</t>
  </si>
  <si>
    <t>潘丹凤</t>
  </si>
  <si>
    <t>杨倩倩</t>
  </si>
  <si>
    <t>于婷婷</t>
  </si>
  <si>
    <t>刘芳源</t>
  </si>
  <si>
    <t>张钰</t>
  </si>
  <si>
    <t>王小庆</t>
  </si>
  <si>
    <t>陈雪丽</t>
  </si>
  <si>
    <t>何佳桢</t>
  </si>
  <si>
    <t>莫舒萱</t>
  </si>
  <si>
    <t>陆广超</t>
  </si>
  <si>
    <t>张彩茜</t>
  </si>
  <si>
    <t>高广翠</t>
  </si>
  <si>
    <t>王乃馨</t>
  </si>
  <si>
    <t>彭秀月</t>
  </si>
  <si>
    <t>李环宇</t>
  </si>
  <si>
    <t>吴江云</t>
  </si>
  <si>
    <t>邓明玥</t>
  </si>
  <si>
    <t>潘蓓蓓</t>
  </si>
  <si>
    <t>王梅英</t>
  </si>
  <si>
    <t>张蓝亓</t>
  </si>
  <si>
    <t>马鑫佟</t>
  </si>
  <si>
    <t>高勤梅</t>
  </si>
  <si>
    <t>卢朝莉</t>
  </si>
  <si>
    <t>庞三妹</t>
  </si>
  <si>
    <t>欧金凤</t>
  </si>
  <si>
    <t>王誉霏</t>
  </si>
  <si>
    <t>陈柳妃</t>
  </si>
  <si>
    <t>宋倩</t>
  </si>
  <si>
    <t>刘琼美</t>
  </si>
  <si>
    <t>王哲扬</t>
  </si>
  <si>
    <t>吴忠飞</t>
  </si>
  <si>
    <t>邓佳语</t>
  </si>
  <si>
    <t>唐永莲</t>
  </si>
  <si>
    <t>范梦桓</t>
  </si>
  <si>
    <t>杨彬涵</t>
  </si>
  <si>
    <t>周恩龄</t>
  </si>
  <si>
    <t>王晓宇</t>
  </si>
  <si>
    <t>吴艳</t>
  </si>
  <si>
    <t>林翔</t>
  </si>
  <si>
    <t>叶造艳</t>
  </si>
  <si>
    <t>高芳莉</t>
  </si>
  <si>
    <t>周月</t>
  </si>
  <si>
    <t>符晴霞</t>
  </si>
  <si>
    <t>余莉</t>
  </si>
  <si>
    <t>鄂珊</t>
  </si>
  <si>
    <t>陈楚楚</t>
  </si>
  <si>
    <t>李梦茹</t>
  </si>
  <si>
    <t>冯玺铭</t>
  </si>
  <si>
    <t>余莉秋</t>
  </si>
  <si>
    <t>冯积君</t>
  </si>
  <si>
    <t>张桐嘉</t>
  </si>
  <si>
    <t>陆以丽</t>
  </si>
  <si>
    <t>董婷</t>
  </si>
  <si>
    <t>潘艺丽</t>
  </si>
  <si>
    <t>纪培娜</t>
  </si>
  <si>
    <t>冯少敏</t>
  </si>
  <si>
    <t>尹丽君</t>
  </si>
  <si>
    <t>钟雅婷</t>
  </si>
  <si>
    <t>林青岭</t>
  </si>
  <si>
    <t>羊城慧</t>
  </si>
  <si>
    <t>林少云</t>
  </si>
  <si>
    <t>陈豆豆</t>
  </si>
  <si>
    <t>戴雅婷</t>
  </si>
  <si>
    <t>陈紫璐</t>
  </si>
  <si>
    <t>吴文华</t>
  </si>
  <si>
    <t>朱政</t>
  </si>
  <si>
    <t>王梦飞</t>
  </si>
  <si>
    <t>蔡慧婷</t>
  </si>
  <si>
    <t>陈春霞</t>
  </si>
  <si>
    <t>朱泽灵</t>
  </si>
  <si>
    <t>曾蔚玲</t>
  </si>
  <si>
    <t>岑美汐</t>
  </si>
  <si>
    <t>黄嘉雯</t>
  </si>
  <si>
    <t>林燕梅</t>
  </si>
  <si>
    <t>胡杨秀</t>
  </si>
  <si>
    <t>李庆怡</t>
  </si>
  <si>
    <t>李依桐</t>
  </si>
  <si>
    <t>卢周莹</t>
  </si>
  <si>
    <t>唐津津</t>
  </si>
  <si>
    <t>徐子涵</t>
  </si>
  <si>
    <t>卢旺辉</t>
  </si>
  <si>
    <t>王冬妹</t>
  </si>
  <si>
    <t>麦佳瑜</t>
  </si>
  <si>
    <t>李俊</t>
  </si>
  <si>
    <t>符秋春</t>
  </si>
  <si>
    <t>王美嶂</t>
  </si>
  <si>
    <t>陈晞月</t>
  </si>
  <si>
    <t>杨琳</t>
  </si>
  <si>
    <t>黄友奎</t>
  </si>
  <si>
    <t>符欣怡</t>
  </si>
  <si>
    <t>黎萌萌</t>
  </si>
  <si>
    <t>符式莹</t>
  </si>
  <si>
    <t>郭小园</t>
  </si>
  <si>
    <t>陈钟怡</t>
  </si>
  <si>
    <t>翁惠敏</t>
  </si>
  <si>
    <t>陈明媚</t>
  </si>
  <si>
    <t>云紫玉</t>
  </si>
  <si>
    <t>吴淑晴</t>
  </si>
  <si>
    <t>梁昌美</t>
  </si>
  <si>
    <t>吴宗汝</t>
  </si>
  <si>
    <t>刘晓培</t>
  </si>
  <si>
    <t>吴璐璐</t>
  </si>
  <si>
    <t>梁飞燕</t>
  </si>
  <si>
    <t>何静薇</t>
  </si>
  <si>
    <t>王甲芳</t>
  </si>
  <si>
    <t>林春恋</t>
  </si>
  <si>
    <t>李秀慧子</t>
  </si>
  <si>
    <t>李莹莹</t>
  </si>
  <si>
    <t>黄春媛</t>
  </si>
  <si>
    <t>蔡仁妮</t>
  </si>
  <si>
    <t>邢少语</t>
  </si>
  <si>
    <t>许雯玉</t>
  </si>
  <si>
    <t>王静雯</t>
  </si>
  <si>
    <t>王丹媚</t>
  </si>
  <si>
    <t>黄山珊</t>
  </si>
  <si>
    <t>符贤娥</t>
  </si>
  <si>
    <t>梁琬婧</t>
  </si>
  <si>
    <t>林明歌</t>
  </si>
  <si>
    <t>徐怡娴</t>
  </si>
  <si>
    <t>徐虹雨</t>
  </si>
  <si>
    <t>陈香君</t>
  </si>
  <si>
    <t>余珍娟</t>
  </si>
  <si>
    <t>陈丽花</t>
  </si>
  <si>
    <t>王腾雪</t>
  </si>
  <si>
    <t>刘祺</t>
  </si>
  <si>
    <t>许笑凌</t>
  </si>
  <si>
    <t>高海月</t>
  </si>
  <si>
    <t>王怡怡</t>
  </si>
  <si>
    <t>苏先敏</t>
  </si>
  <si>
    <t>宋特米</t>
  </si>
  <si>
    <t>麦小菲</t>
  </si>
  <si>
    <t>李渊远</t>
  </si>
  <si>
    <t xml:space="preserve">刘露瑶 </t>
  </si>
  <si>
    <t>吴小叶</t>
  </si>
  <si>
    <t>陈立娜</t>
  </si>
  <si>
    <t>王和艳</t>
  </si>
  <si>
    <t>杨文</t>
  </si>
  <si>
    <t>刘恬恬</t>
  </si>
  <si>
    <t>羊廷慧</t>
  </si>
  <si>
    <t>曾云兰</t>
  </si>
  <si>
    <t>卢文慧</t>
  </si>
  <si>
    <t>梁颖</t>
  </si>
  <si>
    <t>俊玉</t>
  </si>
  <si>
    <t>吴苗</t>
  </si>
  <si>
    <t>张莉</t>
  </si>
  <si>
    <t>史小翠</t>
  </si>
  <si>
    <t>陈泱蓉</t>
  </si>
  <si>
    <t>王素净</t>
  </si>
  <si>
    <t>袁娜</t>
  </si>
  <si>
    <t>李静雯</t>
  </si>
  <si>
    <t>云艳苗</t>
  </si>
  <si>
    <t>吴少雄</t>
  </si>
  <si>
    <t>钟琼君</t>
  </si>
  <si>
    <t>符人丽</t>
  </si>
  <si>
    <t>罗姿</t>
  </si>
  <si>
    <t>张思佳</t>
  </si>
  <si>
    <t>黄裕花</t>
  </si>
  <si>
    <t>米嘉俊</t>
  </si>
  <si>
    <t>王冬玲</t>
  </si>
  <si>
    <t>赵日绵</t>
  </si>
  <si>
    <t>薛小羽</t>
  </si>
  <si>
    <t>张国琴</t>
  </si>
  <si>
    <t>刘莹莹</t>
  </si>
  <si>
    <t>符玉莹</t>
  </si>
  <si>
    <t>周韩羽</t>
  </si>
  <si>
    <t>陈薇</t>
  </si>
  <si>
    <t>郑美施</t>
  </si>
  <si>
    <t>李环媚</t>
  </si>
  <si>
    <t>黄丽丽</t>
  </si>
  <si>
    <t>郑瑜</t>
  </si>
  <si>
    <t>许婷瑾</t>
  </si>
  <si>
    <t>潘丽</t>
  </si>
  <si>
    <t xml:space="preserve"> 刘桂芳 </t>
  </si>
  <si>
    <t>肖馥煊</t>
  </si>
  <si>
    <t>李宛芸</t>
  </si>
  <si>
    <t>范静薇</t>
  </si>
  <si>
    <t>陈淑南</t>
  </si>
  <si>
    <t>李锦丽</t>
  </si>
  <si>
    <t>陈秀妹</t>
  </si>
  <si>
    <t>晏扬</t>
  </si>
  <si>
    <t>张潇丹</t>
  </si>
  <si>
    <t>梁潘林子</t>
  </si>
  <si>
    <t>张沁慧</t>
  </si>
  <si>
    <t>林送转</t>
  </si>
  <si>
    <t>颜巧婷</t>
  </si>
  <si>
    <t>郑建丽</t>
  </si>
  <si>
    <t>谢志敏</t>
  </si>
  <si>
    <t>郭珍珍</t>
  </si>
  <si>
    <t>林紫蔚</t>
  </si>
  <si>
    <t>林雪连</t>
  </si>
  <si>
    <t>梁慧</t>
  </si>
  <si>
    <t>程思怡</t>
  </si>
  <si>
    <t>蓝玉凤</t>
  </si>
  <si>
    <t>张小丹</t>
  </si>
  <si>
    <t>汤金燕</t>
  </si>
  <si>
    <t>林金梅</t>
  </si>
  <si>
    <t>张欣月</t>
  </si>
  <si>
    <t>林雅娜</t>
  </si>
  <si>
    <t>云天静</t>
  </si>
  <si>
    <t>林小梦</t>
  </si>
  <si>
    <t>刘敏杰</t>
  </si>
  <si>
    <t>陈智敏</t>
  </si>
  <si>
    <t>110</t>
  </si>
  <si>
    <t>初中心理健康</t>
  </si>
  <si>
    <t>关月荷</t>
  </si>
  <si>
    <t>何蓝</t>
  </si>
  <si>
    <t>周吉春</t>
  </si>
  <si>
    <t>王涛</t>
  </si>
  <si>
    <t>许茜</t>
  </si>
  <si>
    <t>刘旻钰</t>
  </si>
  <si>
    <t>魏琳蓉</t>
  </si>
  <si>
    <t>李函颖</t>
  </si>
  <si>
    <t>吴贞艳</t>
  </si>
  <si>
    <t>李淳子</t>
  </si>
  <si>
    <t>黎少莲</t>
  </si>
  <si>
    <t>黎健柳</t>
  </si>
  <si>
    <t>庞小慧</t>
  </si>
  <si>
    <t>裴荣悦</t>
  </si>
  <si>
    <t>鲁思颖</t>
  </si>
  <si>
    <t>罗芬</t>
  </si>
  <si>
    <t>龙湾湾</t>
  </si>
  <si>
    <t>陈晓琪</t>
  </si>
  <si>
    <t>徐英娜</t>
  </si>
  <si>
    <t>吴宇欣</t>
  </si>
  <si>
    <t>吴瑞雯</t>
  </si>
  <si>
    <t>李如是</t>
  </si>
  <si>
    <t>劳健妍</t>
  </si>
  <si>
    <t>羊淑燕</t>
  </si>
  <si>
    <t>陈阳</t>
  </si>
  <si>
    <t>吴清菲</t>
  </si>
  <si>
    <t>陈诗萍</t>
  </si>
  <si>
    <t>李庆优</t>
  </si>
  <si>
    <t>梁春花</t>
  </si>
  <si>
    <t>麦晓欣</t>
  </si>
  <si>
    <t>王国英</t>
  </si>
  <si>
    <t>符莹</t>
  </si>
  <si>
    <t>林丽榕</t>
  </si>
  <si>
    <t>羊维妹</t>
  </si>
  <si>
    <t>刘琦</t>
  </si>
  <si>
    <t>罗蓉慧</t>
  </si>
  <si>
    <t>樊伟玲</t>
  </si>
  <si>
    <t>何梓瑜</t>
  </si>
  <si>
    <t>黎玉娇</t>
  </si>
  <si>
    <t>姚传露</t>
  </si>
  <si>
    <t>王媚</t>
  </si>
  <si>
    <t>王翠金</t>
  </si>
  <si>
    <t>郑玉滢</t>
  </si>
  <si>
    <t>梁倩倩</t>
  </si>
  <si>
    <t>刘莲妹</t>
  </si>
  <si>
    <t>韦传玉</t>
  </si>
  <si>
    <t>李悦</t>
  </si>
  <si>
    <t>李海棉</t>
  </si>
  <si>
    <t>李德慧</t>
  </si>
  <si>
    <t>冼小惠</t>
  </si>
  <si>
    <t>王琴</t>
  </si>
  <si>
    <t>吉奕霖</t>
  </si>
  <si>
    <t>郑荣英</t>
  </si>
  <si>
    <t>黎引业</t>
  </si>
  <si>
    <t>王珏</t>
  </si>
  <si>
    <t>肖转南</t>
  </si>
  <si>
    <t>谢依珊</t>
  </si>
  <si>
    <t xml:space="preserve">陈丽华 </t>
  </si>
  <si>
    <t>贾昕瑶</t>
  </si>
  <si>
    <t>林方芳</t>
  </si>
  <si>
    <t>钟文婧</t>
  </si>
  <si>
    <t>秦安楠</t>
  </si>
  <si>
    <t>刘娇</t>
  </si>
  <si>
    <t>朱阿瑶</t>
  </si>
  <si>
    <t>苏闻怡</t>
  </si>
  <si>
    <t>符韵</t>
  </si>
  <si>
    <t>林乐乐</t>
  </si>
  <si>
    <t>邱安妮</t>
  </si>
  <si>
    <t>王一桔</t>
  </si>
  <si>
    <t>符海琳</t>
  </si>
  <si>
    <t>林书梅</t>
  </si>
  <si>
    <t>王曼秋</t>
  </si>
  <si>
    <t>李小慧</t>
  </si>
  <si>
    <t>何雯雯</t>
  </si>
  <si>
    <t>刘阿敏</t>
  </si>
  <si>
    <t>吕希</t>
  </si>
  <si>
    <t>郭福林</t>
  </si>
  <si>
    <t>钟惠英</t>
  </si>
  <si>
    <t>许俊凯</t>
  </si>
  <si>
    <t>符乃凤</t>
  </si>
  <si>
    <t>李向雪</t>
  </si>
  <si>
    <t>贾雨萌</t>
  </si>
  <si>
    <t>李华珠</t>
  </si>
  <si>
    <t>符琳瑜</t>
  </si>
  <si>
    <t>陈妙茵</t>
  </si>
  <si>
    <t>符芳慧</t>
  </si>
  <si>
    <t>林菲</t>
  </si>
  <si>
    <t>付思红</t>
  </si>
  <si>
    <t>董妍妍</t>
  </si>
  <si>
    <t>龙瑞颖</t>
  </si>
  <si>
    <t>刘建芳</t>
  </si>
  <si>
    <t>林洁</t>
  </si>
  <si>
    <t>陈呵</t>
  </si>
  <si>
    <t>李聪</t>
  </si>
  <si>
    <t>陈贤玉</t>
  </si>
  <si>
    <t>陈光婷</t>
  </si>
  <si>
    <t>李泰桦</t>
  </si>
  <si>
    <t>邱星鑫</t>
  </si>
  <si>
    <t>李雅轩</t>
  </si>
  <si>
    <t>马莹莹</t>
  </si>
  <si>
    <t>黎霞</t>
  </si>
  <si>
    <t>吴淑婷</t>
  </si>
  <si>
    <t>符海媚</t>
  </si>
  <si>
    <t>111</t>
  </si>
  <si>
    <t>小学心理健康</t>
  </si>
  <si>
    <t>邝汇惠</t>
  </si>
  <si>
    <t>苏肖月</t>
  </si>
  <si>
    <t>羊凌霜</t>
  </si>
  <si>
    <t>劳启芳</t>
  </si>
  <si>
    <t>袁晓倩</t>
  </si>
  <si>
    <t>刘小玮</t>
  </si>
  <si>
    <t>李艳苗</t>
  </si>
  <si>
    <t>张菁</t>
  </si>
  <si>
    <t>柳小翠</t>
  </si>
  <si>
    <t>王玉霞</t>
  </si>
  <si>
    <t>曾秋丹</t>
  </si>
  <si>
    <t>桂芳</t>
  </si>
  <si>
    <t>符彩秀</t>
  </si>
  <si>
    <t>邢燕</t>
  </si>
  <si>
    <t>吴金花</t>
  </si>
  <si>
    <t>吴皖宁</t>
  </si>
  <si>
    <t>吴清威</t>
  </si>
  <si>
    <t>陈川蕊</t>
  </si>
  <si>
    <t>彭平</t>
  </si>
  <si>
    <t>朱媛</t>
  </si>
  <si>
    <t>周慧江</t>
  </si>
  <si>
    <t>王新立</t>
  </si>
  <si>
    <t>王秋南</t>
  </si>
  <si>
    <t>王芸</t>
  </si>
  <si>
    <t>黄瑞怡</t>
  </si>
  <si>
    <t>伍甜甜</t>
  </si>
  <si>
    <t>王潇寒</t>
  </si>
  <si>
    <t>陈积杰</t>
  </si>
  <si>
    <t>贺明秀</t>
  </si>
  <si>
    <t>黄雅妮</t>
  </si>
  <si>
    <t>汤正婷</t>
  </si>
  <si>
    <t>钟海玲</t>
  </si>
  <si>
    <t>陈璟</t>
  </si>
  <si>
    <t>陈保金</t>
  </si>
  <si>
    <t>邹大帆</t>
  </si>
  <si>
    <t>黄瑞妹</t>
  </si>
  <si>
    <t>胡春龙</t>
  </si>
  <si>
    <t>张潇月</t>
  </si>
  <si>
    <t>符策柏</t>
  </si>
  <si>
    <t>许嫔嫔</t>
  </si>
  <si>
    <t>符色燕</t>
  </si>
  <si>
    <t>曹林格</t>
  </si>
  <si>
    <t>赵东香</t>
  </si>
  <si>
    <t>王玉銮</t>
  </si>
  <si>
    <t>柳沙沙</t>
  </si>
  <si>
    <t>蔡宁静</t>
  </si>
  <si>
    <t>叶丽云</t>
  </si>
  <si>
    <t>郭乃坤</t>
  </si>
  <si>
    <t>赵玉丽</t>
  </si>
  <si>
    <t>方柳宇</t>
  </si>
  <si>
    <t>谭瑶</t>
  </si>
  <si>
    <t>吴明娟</t>
  </si>
  <si>
    <t>王丽雯</t>
  </si>
  <si>
    <t>陈伊惠</t>
  </si>
  <si>
    <t>杨婷婷</t>
  </si>
  <si>
    <t>王洁</t>
  </si>
  <si>
    <t>刘陈妃</t>
  </si>
  <si>
    <t>王琼雪</t>
  </si>
  <si>
    <t>吴艳姣</t>
  </si>
  <si>
    <t>陈小宇</t>
  </si>
  <si>
    <t>吴挺芯</t>
  </si>
  <si>
    <t>许天荟</t>
  </si>
  <si>
    <t>方慧灵</t>
  </si>
  <si>
    <t>邓雅青</t>
  </si>
  <si>
    <t>詹晓妹</t>
  </si>
  <si>
    <t>黄李娜</t>
  </si>
  <si>
    <t>文宠婷</t>
  </si>
  <si>
    <t>陈伟</t>
  </si>
  <si>
    <t>蔡丽</t>
  </si>
  <si>
    <t>赵坤兰</t>
  </si>
  <si>
    <t>吴钟恒</t>
  </si>
  <si>
    <t>符月玲</t>
  </si>
  <si>
    <t>彭沐子</t>
  </si>
  <si>
    <t>冯晓靖</t>
  </si>
  <si>
    <t>金可扬</t>
  </si>
  <si>
    <t>韩亦菲</t>
  </si>
  <si>
    <t>刘佳佳</t>
  </si>
  <si>
    <t>黄旋</t>
  </si>
  <si>
    <t>蔡津津</t>
  </si>
  <si>
    <t>赵元霖</t>
  </si>
  <si>
    <t>陈源霞</t>
  </si>
  <si>
    <t>冯琳</t>
  </si>
  <si>
    <t>陈雅民</t>
  </si>
  <si>
    <t>蔡神良</t>
  </si>
  <si>
    <t>洪雅</t>
  </si>
  <si>
    <t>郭李洁</t>
  </si>
  <si>
    <t>潘明农</t>
  </si>
  <si>
    <t>陈初梅</t>
  </si>
  <si>
    <t>羊福香</t>
  </si>
  <si>
    <t>李嘉嘉</t>
  </si>
  <si>
    <t>时学艳</t>
  </si>
  <si>
    <t>郑婉娟</t>
  </si>
  <si>
    <t>谢慧琳</t>
  </si>
  <si>
    <t>李定霞</t>
  </si>
  <si>
    <t>何林青</t>
  </si>
  <si>
    <t>金业成</t>
  </si>
  <si>
    <t>王少琴</t>
  </si>
  <si>
    <t>蔡丹丹</t>
  </si>
  <si>
    <t>刘丽娜</t>
  </si>
  <si>
    <t>杨茹</t>
  </si>
  <si>
    <t>谭金燕</t>
  </si>
  <si>
    <t>罗泽霞</t>
  </si>
  <si>
    <t>王琼叶</t>
  </si>
  <si>
    <t>杨冰</t>
  </si>
  <si>
    <t>吴少玉</t>
  </si>
  <si>
    <t>陈佩颖</t>
  </si>
  <si>
    <t>林瑶</t>
  </si>
  <si>
    <t>林之斌</t>
  </si>
  <si>
    <t>陈春秀</t>
  </si>
  <si>
    <t>明玉玲</t>
  </si>
  <si>
    <t>谢安娜</t>
  </si>
  <si>
    <t>劳泰淋</t>
  </si>
  <si>
    <t>羊学州</t>
  </si>
  <si>
    <t>安景琪</t>
  </si>
  <si>
    <t>许苒</t>
  </si>
  <si>
    <t>卓欣欣</t>
  </si>
  <si>
    <t>吴风丹</t>
  </si>
  <si>
    <t>游舒羽</t>
  </si>
  <si>
    <t>龙立钎</t>
  </si>
  <si>
    <t>韩艳敏</t>
  </si>
  <si>
    <t>112</t>
  </si>
  <si>
    <t>信息技术</t>
  </si>
  <si>
    <t>王鸿霜</t>
  </si>
  <si>
    <t>李美芬</t>
  </si>
  <si>
    <t>吴舒仪</t>
  </si>
  <si>
    <t>王瑞影</t>
  </si>
  <si>
    <t>王秋捷</t>
  </si>
  <si>
    <t>黄怡霖</t>
  </si>
  <si>
    <t>张菊梅</t>
  </si>
  <si>
    <t>王丹妮</t>
  </si>
  <si>
    <t>王大魁</t>
  </si>
  <si>
    <t>蔡程冰</t>
  </si>
  <si>
    <t>吴凤琰</t>
  </si>
  <si>
    <t>陈校米</t>
  </si>
  <si>
    <t>羊少变</t>
  </si>
  <si>
    <t>张友杰</t>
  </si>
  <si>
    <t>李彬</t>
  </si>
  <si>
    <t>朱紫</t>
  </si>
  <si>
    <t>周祝蝶</t>
  </si>
  <si>
    <t>高茜</t>
  </si>
  <si>
    <t>蔡石妹</t>
  </si>
  <si>
    <t>钟娘霞</t>
  </si>
  <si>
    <t>符慧倩</t>
  </si>
  <si>
    <t>林朝蝶</t>
  </si>
  <si>
    <t>符君挚</t>
  </si>
  <si>
    <t>唐月霞</t>
  </si>
  <si>
    <t>王爱昀</t>
  </si>
  <si>
    <t>吴慧</t>
  </si>
  <si>
    <t>邢玉雅</t>
  </si>
  <si>
    <t>王凤玲</t>
  </si>
  <si>
    <t>黎圣奇</t>
  </si>
  <si>
    <t>刘志雯</t>
  </si>
  <si>
    <t>吴丹</t>
  </si>
  <si>
    <t>尹晶晶</t>
  </si>
  <si>
    <t>周忠喜</t>
  </si>
  <si>
    <t>吉红玲</t>
  </si>
  <si>
    <t>符子阳</t>
  </si>
  <si>
    <t>王昌海</t>
  </si>
  <si>
    <t>王瑞旧</t>
  </si>
  <si>
    <t>王知音</t>
  </si>
  <si>
    <t>刘司阳</t>
  </si>
  <si>
    <t>庄少君</t>
  </si>
  <si>
    <t>吴少玲</t>
  </si>
  <si>
    <t>冯翠香</t>
  </si>
  <si>
    <t>吴婷</t>
  </si>
  <si>
    <t>张萌</t>
  </si>
  <si>
    <t>邓小梅</t>
  </si>
  <si>
    <t>陈豪兵</t>
  </si>
  <si>
    <t>李功渊</t>
  </si>
  <si>
    <t>伍曼姬</t>
  </si>
  <si>
    <t>郑哈拿</t>
  </si>
  <si>
    <t>吴如咪</t>
  </si>
  <si>
    <t>谢小琴</t>
  </si>
  <si>
    <t>翁才弟</t>
  </si>
  <si>
    <t>洪嘉怡</t>
  </si>
  <si>
    <t>何里丹</t>
  </si>
  <si>
    <t>王海丽</t>
  </si>
  <si>
    <t>梁振伟</t>
  </si>
  <si>
    <t>冯佳妙</t>
  </si>
  <si>
    <t>冷国宁</t>
  </si>
  <si>
    <t>李业玲</t>
  </si>
  <si>
    <t>张莉莉</t>
  </si>
  <si>
    <t>陈淑婷</t>
  </si>
  <si>
    <t>靳雁琳</t>
  </si>
  <si>
    <t>陈艳萍</t>
  </si>
  <si>
    <t>曾慧攀</t>
  </si>
  <si>
    <t>陈家伟</t>
  </si>
  <si>
    <t>蔡丹</t>
  </si>
  <si>
    <t>陈名丽</t>
  </si>
  <si>
    <t>沈莹</t>
  </si>
  <si>
    <t>李瑶</t>
  </si>
  <si>
    <t>黄贵能</t>
  </si>
  <si>
    <t>饶春玲</t>
  </si>
  <si>
    <t>黎惠娴</t>
  </si>
  <si>
    <t>郑金</t>
  </si>
  <si>
    <t>曾显花</t>
  </si>
  <si>
    <t>陈纪莉</t>
  </si>
  <si>
    <t>陈丽帆</t>
  </si>
  <si>
    <t>罗英</t>
  </si>
  <si>
    <t>邢增果</t>
  </si>
  <si>
    <t>钟国威</t>
  </si>
  <si>
    <t>胡妹</t>
  </si>
  <si>
    <t>李笑笑</t>
  </si>
  <si>
    <t>彭孝慈</t>
  </si>
  <si>
    <t>李香冰</t>
  </si>
  <si>
    <t>洪盛荣</t>
  </si>
  <si>
    <t>林娇</t>
  </si>
  <si>
    <t>崔忠正</t>
  </si>
  <si>
    <t>庞悦滢</t>
  </si>
  <si>
    <t>覃妹玲</t>
  </si>
  <si>
    <t>李茹</t>
  </si>
  <si>
    <t>徐春波</t>
  </si>
  <si>
    <t>林明兰</t>
  </si>
  <si>
    <t>吴培雅</t>
  </si>
  <si>
    <t>黎佩玉</t>
  </si>
  <si>
    <t>林小丽</t>
  </si>
  <si>
    <t>关贻敏</t>
  </si>
  <si>
    <t>李淼</t>
  </si>
  <si>
    <t>罗海珍</t>
  </si>
  <si>
    <t>韩少婉</t>
  </si>
  <si>
    <t>陈泰珍</t>
  </si>
  <si>
    <t>邓蓉</t>
  </si>
  <si>
    <t>林香婷</t>
  </si>
  <si>
    <t>曾恋</t>
  </si>
  <si>
    <t>李美星</t>
  </si>
  <si>
    <t>李金峰</t>
  </si>
  <si>
    <t>黄青平</t>
  </si>
  <si>
    <t>王亿朗</t>
  </si>
  <si>
    <t>吴柏</t>
  </si>
  <si>
    <t>陈南姑</t>
  </si>
  <si>
    <t>肖唯鹃</t>
  </si>
  <si>
    <t>冼慧玲</t>
  </si>
  <si>
    <t>黄正</t>
  </si>
  <si>
    <t>王渊</t>
  </si>
  <si>
    <t>符惠萍</t>
  </si>
  <si>
    <t xml:space="preserve">吴慧敏 </t>
  </si>
  <si>
    <t>徐晓婷</t>
  </si>
  <si>
    <t>符海芬</t>
  </si>
  <si>
    <t>朱宸晓</t>
  </si>
  <si>
    <t>李云珠</t>
  </si>
  <si>
    <t>李牧阳</t>
  </si>
  <si>
    <t>陈兴梁</t>
  </si>
  <si>
    <t>黎陈立</t>
  </si>
  <si>
    <t>程巧仪</t>
  </si>
  <si>
    <t>符宝仍</t>
  </si>
  <si>
    <t>钟赛丽</t>
  </si>
  <si>
    <t>肖瑞琼</t>
  </si>
  <si>
    <t>陈金春</t>
  </si>
  <si>
    <t>李源源</t>
  </si>
  <si>
    <t>王春苗</t>
  </si>
  <si>
    <t>林蝶</t>
  </si>
  <si>
    <t>符传嫣</t>
  </si>
  <si>
    <t>唐祥美</t>
  </si>
  <si>
    <t>潘杨春</t>
  </si>
  <si>
    <t>林诗境</t>
  </si>
  <si>
    <t>文娉婷</t>
  </si>
  <si>
    <t>刘新艳</t>
  </si>
  <si>
    <t>王宝利</t>
  </si>
  <si>
    <t>唐丽蕊</t>
  </si>
  <si>
    <t>林先天</t>
  </si>
  <si>
    <t>钟斌</t>
  </si>
  <si>
    <t>郑秋红</t>
  </si>
  <si>
    <t>卞林惠</t>
  </si>
  <si>
    <t>冯成成</t>
  </si>
  <si>
    <t>李国珍</t>
  </si>
  <si>
    <t>杨舒童</t>
  </si>
  <si>
    <t>文子双</t>
  </si>
  <si>
    <t>韦荣慧</t>
  </si>
  <si>
    <t>陈良芳</t>
  </si>
  <si>
    <t>周小杨</t>
  </si>
  <si>
    <t>江和军</t>
  </si>
  <si>
    <t>李婉</t>
  </si>
  <si>
    <t>方意莹</t>
  </si>
  <si>
    <t>陈淑君</t>
  </si>
  <si>
    <t>黄愉</t>
  </si>
  <si>
    <t>叶子涵</t>
  </si>
  <si>
    <t>蔡萱</t>
  </si>
  <si>
    <t>谢仙岑</t>
  </si>
  <si>
    <t>李育任</t>
  </si>
  <si>
    <t>陈核</t>
  </si>
  <si>
    <t>刘芷琼</t>
  </si>
  <si>
    <t>符严方</t>
  </si>
  <si>
    <t>陈三妹</t>
  </si>
  <si>
    <t>华红伶</t>
  </si>
  <si>
    <t>吴春萍</t>
  </si>
  <si>
    <t>吴传曼</t>
  </si>
  <si>
    <t>纪明月</t>
  </si>
  <si>
    <t>曾艺婕</t>
  </si>
  <si>
    <t>张春春</t>
  </si>
  <si>
    <t>李娇芬</t>
  </si>
  <si>
    <t>唐艳阳</t>
  </si>
  <si>
    <t>王国威</t>
  </si>
  <si>
    <t>符乃娟</t>
  </si>
  <si>
    <t>谭良灵</t>
  </si>
  <si>
    <t>李婷丽</t>
  </si>
  <si>
    <t>林子仙</t>
  </si>
  <si>
    <t>符仙婷</t>
  </si>
  <si>
    <t>王惠子</t>
  </si>
  <si>
    <t>符海森</t>
  </si>
  <si>
    <t>黄晓玉</t>
  </si>
  <si>
    <t>梁晓莲</t>
  </si>
  <si>
    <t>吴小翠</t>
  </si>
  <si>
    <t>符思颖</t>
  </si>
  <si>
    <t>赵妍</t>
  </si>
  <si>
    <t>张小艺</t>
  </si>
  <si>
    <t>谢欣欣</t>
  </si>
  <si>
    <t>郑燕菲</t>
  </si>
  <si>
    <t>李璐璐</t>
  </si>
  <si>
    <t>林燕琼</t>
  </si>
  <si>
    <t>张雁茹</t>
  </si>
  <si>
    <t>李小艳</t>
  </si>
  <si>
    <t>王乔</t>
  </si>
  <si>
    <t>蒙转姑</t>
  </si>
  <si>
    <t>陈斐斐</t>
  </si>
  <si>
    <t>杨嘉琳</t>
  </si>
  <si>
    <t>范博</t>
  </si>
  <si>
    <t>张颖</t>
  </si>
  <si>
    <t>黄小康</t>
  </si>
  <si>
    <t>符洋珍</t>
  </si>
  <si>
    <t>符敦</t>
  </si>
  <si>
    <t>113</t>
  </si>
  <si>
    <t>中学化学</t>
  </si>
  <si>
    <t>王海瑜</t>
  </si>
  <si>
    <t>何远兴</t>
  </si>
  <si>
    <t>符谷丽</t>
  </si>
  <si>
    <t>陈玉妹</t>
  </si>
  <si>
    <t>赵梓含</t>
  </si>
  <si>
    <t>羊小玲</t>
  </si>
  <si>
    <t>祁宪蕾</t>
  </si>
  <si>
    <t>杜香娇</t>
  </si>
  <si>
    <t>钟玄英</t>
  </si>
  <si>
    <t>邝春容</t>
  </si>
  <si>
    <t>吴月丽</t>
  </si>
  <si>
    <t>符春泥</t>
  </si>
  <si>
    <t>王其妮</t>
  </si>
  <si>
    <t>钟惠</t>
  </si>
  <si>
    <t>杨泽亮</t>
  </si>
  <si>
    <t>陈凤慧</t>
  </si>
  <si>
    <t>陈小曼</t>
  </si>
  <si>
    <t>祁曼雅</t>
  </si>
  <si>
    <t>徐源</t>
  </si>
  <si>
    <t>刘菁颖</t>
  </si>
  <si>
    <t>吴春晓</t>
  </si>
  <si>
    <t>英金敏</t>
  </si>
  <si>
    <t>王燕诗</t>
  </si>
  <si>
    <t>刘彩莲</t>
  </si>
  <si>
    <t>庞情</t>
  </si>
  <si>
    <t>李杰丞</t>
  </si>
  <si>
    <t>洪艳艳</t>
  </si>
  <si>
    <t>杨顺</t>
  </si>
  <si>
    <t>王秀婷</t>
  </si>
  <si>
    <t>张惠燕</t>
  </si>
  <si>
    <t>谢宗胶</t>
  </si>
  <si>
    <t>符颖</t>
  </si>
  <si>
    <t>符梅爱</t>
  </si>
  <si>
    <t>王淑玲</t>
  </si>
  <si>
    <t>冼夏云</t>
  </si>
  <si>
    <t>易梅</t>
  </si>
  <si>
    <t>郭江霞</t>
  </si>
  <si>
    <t>李牧原</t>
  </si>
  <si>
    <t>陈召亿</t>
  </si>
  <si>
    <t>王春荣</t>
  </si>
  <si>
    <t>李博乾</t>
  </si>
  <si>
    <t>王一萍</t>
  </si>
  <si>
    <t>吴周少</t>
  </si>
  <si>
    <t>蔡似梅</t>
  </si>
  <si>
    <t>孙婧倩</t>
  </si>
  <si>
    <t>何桂玉</t>
  </si>
  <si>
    <t>黄康慧</t>
  </si>
  <si>
    <t>梁冬如</t>
  </si>
  <si>
    <t>文昌雨</t>
  </si>
  <si>
    <t>文利雅</t>
  </si>
  <si>
    <t>林学桥</t>
  </si>
  <si>
    <t>符俊优</t>
  </si>
  <si>
    <t>陈祺</t>
  </si>
  <si>
    <t>仝三岩</t>
  </si>
  <si>
    <t>郑淇</t>
  </si>
  <si>
    <t>李玉</t>
  </si>
  <si>
    <t>曾小曼</t>
  </si>
  <si>
    <t>王允桂</t>
  </si>
  <si>
    <t>林姝含</t>
  </si>
  <si>
    <t>黄柳灵</t>
  </si>
  <si>
    <t>刘璐</t>
  </si>
  <si>
    <t>林蓓</t>
  </si>
  <si>
    <t>王亮亮</t>
  </si>
  <si>
    <t>史才艺</t>
  </si>
  <si>
    <t>李思雨</t>
  </si>
  <si>
    <t>陈雨</t>
  </si>
  <si>
    <t>王昊东</t>
  </si>
  <si>
    <t>李腾爱</t>
  </si>
  <si>
    <t>董为丽</t>
  </si>
  <si>
    <t>王小燕</t>
  </si>
  <si>
    <t>赵思英</t>
  </si>
  <si>
    <t>何益舅</t>
  </si>
  <si>
    <t>符丽荣</t>
  </si>
  <si>
    <t>陈萌森</t>
  </si>
  <si>
    <t>吴钟龙</t>
  </si>
  <si>
    <t>谭梦佳</t>
  </si>
  <si>
    <t>陈辉映</t>
  </si>
  <si>
    <t>黄华依</t>
  </si>
  <si>
    <t>王少玉</t>
  </si>
  <si>
    <t>李志强</t>
  </si>
  <si>
    <t>张微</t>
  </si>
  <si>
    <t>李美莹</t>
  </si>
  <si>
    <t>徐雅丽</t>
  </si>
  <si>
    <t>黄金月</t>
  </si>
  <si>
    <t>周贞廷</t>
  </si>
  <si>
    <t>王雪玉</t>
  </si>
  <si>
    <t>陈垂强</t>
  </si>
  <si>
    <t>马千慧</t>
  </si>
  <si>
    <t>陈宏娜</t>
  </si>
  <si>
    <t>刘丽梅</t>
  </si>
  <si>
    <t>何玉妹</t>
  </si>
  <si>
    <t>陈月菊</t>
  </si>
  <si>
    <t>陈林婧</t>
  </si>
  <si>
    <t>肖玲</t>
  </si>
  <si>
    <t>李晓燕</t>
  </si>
  <si>
    <t>王精珠</t>
  </si>
  <si>
    <t>陆青雯</t>
  </si>
  <si>
    <t>陈慧</t>
  </si>
  <si>
    <t>扈雅宁</t>
  </si>
  <si>
    <t>符文惜</t>
  </si>
  <si>
    <t>郭扬嫩</t>
  </si>
  <si>
    <t>朱小颖</t>
  </si>
  <si>
    <t>朱德誉</t>
  </si>
  <si>
    <t>王雅游</t>
  </si>
  <si>
    <t>符心雨</t>
  </si>
  <si>
    <t>符秘豪</t>
  </si>
  <si>
    <t>曾钊</t>
  </si>
  <si>
    <t>陈金雪</t>
  </si>
  <si>
    <t>庞小梅</t>
  </si>
  <si>
    <t>陈叶玲</t>
  </si>
  <si>
    <t>李华冰</t>
  </si>
  <si>
    <t>何燕婷</t>
  </si>
  <si>
    <t>陈桂秀</t>
  </si>
  <si>
    <t>何布四</t>
  </si>
  <si>
    <t>林威磊</t>
  </si>
  <si>
    <t>纪珊珊</t>
  </si>
  <si>
    <t>翁月乙</t>
  </si>
  <si>
    <t>李月华</t>
  </si>
  <si>
    <t>林福曲</t>
  </si>
  <si>
    <t>叶灿灿</t>
  </si>
  <si>
    <t>王烨</t>
  </si>
  <si>
    <t>顾红</t>
  </si>
  <si>
    <t>李德霞</t>
  </si>
  <si>
    <t>文亚倩</t>
  </si>
  <si>
    <t>郑新燕</t>
  </si>
  <si>
    <t>冯小蔓</t>
  </si>
  <si>
    <t>何吉花</t>
  </si>
  <si>
    <t>符永银</t>
  </si>
  <si>
    <t>郑博雅</t>
  </si>
  <si>
    <t>何振柳</t>
  </si>
  <si>
    <t>郭仁玲</t>
  </si>
  <si>
    <t>翁瑞冰</t>
  </si>
  <si>
    <t>吕敬恩</t>
  </si>
  <si>
    <t>冯春蕾</t>
  </si>
  <si>
    <t>刘荣荣</t>
  </si>
  <si>
    <t>李涓</t>
  </si>
  <si>
    <t>王小香</t>
  </si>
  <si>
    <t>王雯萱</t>
  </si>
  <si>
    <t>韩晓敏</t>
  </si>
  <si>
    <t>李海生</t>
  </si>
  <si>
    <t>邓云</t>
  </si>
  <si>
    <t>饶陈芬</t>
  </si>
  <si>
    <t>王依蓓</t>
  </si>
  <si>
    <t>王春妍</t>
  </si>
  <si>
    <t>林柳红</t>
  </si>
  <si>
    <t>秦燕怀</t>
  </si>
  <si>
    <t>陈琼瓜</t>
  </si>
  <si>
    <t>何丽鸾</t>
  </si>
  <si>
    <t>李月春</t>
  </si>
  <si>
    <t>王正秋</t>
  </si>
  <si>
    <t>黄恋</t>
  </si>
  <si>
    <t>郑叶</t>
  </si>
  <si>
    <t>邓芳荞</t>
  </si>
  <si>
    <t>陈翠尾</t>
  </si>
  <si>
    <t>赵卫梅</t>
  </si>
  <si>
    <t>郭秀月</t>
  </si>
  <si>
    <t>王凤丹</t>
  </si>
  <si>
    <t>赵敏</t>
  </si>
  <si>
    <t>王明薇</t>
  </si>
  <si>
    <t>李琼虹</t>
  </si>
  <si>
    <t>符壮才</t>
  </si>
  <si>
    <t>罗盛转</t>
  </si>
  <si>
    <t>温莉霜</t>
  </si>
  <si>
    <t>杨乖月</t>
  </si>
  <si>
    <t>吴妹月</t>
  </si>
  <si>
    <t>黄立娇</t>
  </si>
  <si>
    <t>孙誉</t>
  </si>
  <si>
    <t>许秋缘</t>
  </si>
  <si>
    <t>罗小恋</t>
  </si>
  <si>
    <t>张艳</t>
  </si>
  <si>
    <t>尹燕梅</t>
  </si>
  <si>
    <t>麦天成</t>
  </si>
  <si>
    <t>张改改</t>
  </si>
  <si>
    <t>黄女钩</t>
  </si>
  <si>
    <t>林氏黛</t>
  </si>
  <si>
    <t>罗盛通</t>
  </si>
  <si>
    <t>符丽莎</t>
  </si>
  <si>
    <t>张文楠</t>
  </si>
  <si>
    <t>林道锦</t>
  </si>
  <si>
    <t>岑举芳</t>
  </si>
  <si>
    <t>叶朝娜</t>
  </si>
  <si>
    <t>蔡丽雯</t>
  </si>
  <si>
    <t>李雪梅</t>
  </si>
  <si>
    <t>郑海芸</t>
  </si>
  <si>
    <t>谭德娥</t>
  </si>
  <si>
    <t>韦让灵</t>
  </si>
  <si>
    <t>赵春莹</t>
  </si>
  <si>
    <t>陈东霞</t>
  </si>
  <si>
    <t>陈承凤</t>
  </si>
  <si>
    <t>邓德壮</t>
  </si>
  <si>
    <t>陈双玉</t>
  </si>
  <si>
    <t>曾婆玉</t>
  </si>
  <si>
    <t>王文文</t>
  </si>
  <si>
    <t>赖冰如</t>
  </si>
  <si>
    <t>林兴梅</t>
  </si>
  <si>
    <t>陈玉洁</t>
  </si>
  <si>
    <t>文美方</t>
  </si>
  <si>
    <t>谢成花</t>
  </si>
  <si>
    <t>孔子媚</t>
  </si>
  <si>
    <t>王千姬</t>
  </si>
  <si>
    <t>巫仙群</t>
  </si>
  <si>
    <t>周焕妹</t>
  </si>
  <si>
    <t>麦慧霞</t>
  </si>
  <si>
    <t>吴秋婷</t>
  </si>
  <si>
    <t>吴贝贝</t>
  </si>
  <si>
    <t>姚美珍</t>
  </si>
  <si>
    <t>黄英</t>
  </si>
  <si>
    <t>黎碧茵</t>
  </si>
  <si>
    <t>余映徵</t>
  </si>
  <si>
    <t>王蔓</t>
  </si>
  <si>
    <t>曾静姣</t>
  </si>
  <si>
    <t>文霞</t>
  </si>
  <si>
    <t>崔庭兰</t>
  </si>
  <si>
    <t>孙转</t>
  </si>
  <si>
    <t>郑世伟</t>
  </si>
  <si>
    <t>陈宝桦</t>
  </si>
  <si>
    <t>叶桂伶</t>
  </si>
  <si>
    <t>黄小叶</t>
  </si>
  <si>
    <t>周炳丹</t>
  </si>
  <si>
    <t>蔡亲蕾</t>
  </si>
  <si>
    <t>颜友曼</t>
  </si>
  <si>
    <t>李嘉蕾</t>
  </si>
  <si>
    <t>陈木娇</t>
  </si>
  <si>
    <t>吴玉爱</t>
  </si>
  <si>
    <t>吉训哲</t>
  </si>
  <si>
    <t>王倩</t>
  </si>
  <si>
    <t>李元江</t>
  </si>
  <si>
    <t>周经雄</t>
  </si>
  <si>
    <t>黄金翠</t>
  </si>
  <si>
    <t>许慧玲</t>
  </si>
  <si>
    <t>谢莹莹</t>
  </si>
  <si>
    <t>陈汉翠</t>
  </si>
  <si>
    <t>王逸转</t>
  </si>
  <si>
    <t>潘杨</t>
  </si>
  <si>
    <t>符桂乾</t>
  </si>
  <si>
    <t>卢家宏</t>
  </si>
  <si>
    <t>王韵涵</t>
  </si>
  <si>
    <t>陈梁玉</t>
  </si>
  <si>
    <t>罗运展</t>
  </si>
  <si>
    <t>文春娥</t>
  </si>
  <si>
    <t>戴俊华</t>
  </si>
  <si>
    <t>陈志霞</t>
  </si>
  <si>
    <t>符慧文</t>
  </si>
  <si>
    <t>李时畅</t>
  </si>
  <si>
    <t>陈露</t>
  </si>
  <si>
    <t>孙秀英</t>
  </si>
  <si>
    <t>吴俊芳</t>
  </si>
  <si>
    <t>潘文</t>
  </si>
  <si>
    <t>沈婕</t>
  </si>
  <si>
    <t>114</t>
  </si>
  <si>
    <t>中学历史</t>
  </si>
  <si>
    <t>王词林</t>
  </si>
  <si>
    <t>吴洁明</t>
  </si>
  <si>
    <t>王家宇</t>
  </si>
  <si>
    <t>陈思妍</t>
  </si>
  <si>
    <t>陈琦琦</t>
  </si>
  <si>
    <t>黎祥栋</t>
  </si>
  <si>
    <t>梁亚云</t>
  </si>
  <si>
    <t>刘明梅</t>
  </si>
  <si>
    <t>申晓翼</t>
  </si>
  <si>
    <t>郑精娥</t>
  </si>
  <si>
    <t>郄钰</t>
  </si>
  <si>
    <t>王秀宇</t>
  </si>
  <si>
    <t>林道远</t>
  </si>
  <si>
    <t>吴妮姗</t>
  </si>
  <si>
    <t>张兰兰</t>
  </si>
  <si>
    <t>符海情</t>
  </si>
  <si>
    <t>林炜杰</t>
  </si>
  <si>
    <t>符兰爱</t>
  </si>
  <si>
    <t>吴海珍</t>
  </si>
  <si>
    <t>邱优</t>
  </si>
  <si>
    <t>林才钰</t>
  </si>
  <si>
    <t>谢会政</t>
  </si>
  <si>
    <t>吴贻成</t>
  </si>
  <si>
    <t>黄和蕾</t>
  </si>
  <si>
    <t>符晓寒</t>
  </si>
  <si>
    <t>高菁</t>
  </si>
  <si>
    <t>王位涛</t>
  </si>
  <si>
    <t>郑史冰</t>
  </si>
  <si>
    <t>邢莉莉</t>
  </si>
  <si>
    <t>高莉</t>
  </si>
  <si>
    <t>李厚薪</t>
  </si>
  <si>
    <t>符丽菲</t>
  </si>
  <si>
    <t>李华</t>
  </si>
  <si>
    <t>陈川湖</t>
  </si>
  <si>
    <t>卢红月</t>
  </si>
  <si>
    <t>王海棠</t>
  </si>
  <si>
    <t>蔡莹</t>
  </si>
  <si>
    <t>王晓芸</t>
  </si>
  <si>
    <t>周琪滨</t>
  </si>
  <si>
    <t>许露好</t>
  </si>
  <si>
    <t>陈廷旭</t>
  </si>
  <si>
    <t>符卿达</t>
  </si>
  <si>
    <t>陈乐乐</t>
  </si>
  <si>
    <t>王芳婉</t>
  </si>
  <si>
    <t>符环丹</t>
  </si>
  <si>
    <t>梁琪潇</t>
  </si>
  <si>
    <t>杜梅桂</t>
  </si>
  <si>
    <t>薛庆玲</t>
  </si>
  <si>
    <t>陈萍</t>
  </si>
  <si>
    <t>余学文</t>
  </si>
  <si>
    <t>陈玉兰</t>
  </si>
  <si>
    <t>吴桐</t>
  </si>
  <si>
    <t>韩丽</t>
  </si>
  <si>
    <t>张雪莲</t>
  </si>
  <si>
    <t>庄敬虹</t>
  </si>
  <si>
    <t>简海英</t>
  </si>
  <si>
    <t>陈昕颖</t>
  </si>
  <si>
    <t>杨乃骁</t>
  </si>
  <si>
    <t>黄烨坤</t>
  </si>
  <si>
    <t>林元超</t>
  </si>
  <si>
    <t>林怡</t>
  </si>
  <si>
    <t>纪新杨</t>
  </si>
  <si>
    <t>李雪虹</t>
  </si>
  <si>
    <t>王晓梅</t>
  </si>
  <si>
    <t>符传虹</t>
  </si>
  <si>
    <t>冯琬云</t>
  </si>
  <si>
    <t>彭博伟</t>
  </si>
  <si>
    <t>杨文慧</t>
  </si>
  <si>
    <t>王才良</t>
  </si>
  <si>
    <t>李建冰</t>
  </si>
  <si>
    <t>郝媛媛</t>
  </si>
  <si>
    <t>王超奇</t>
  </si>
  <si>
    <t>陈鸿文</t>
  </si>
  <si>
    <t>郭杜娟</t>
  </si>
  <si>
    <t>陈爱芯</t>
  </si>
  <si>
    <t>郑焕妃</t>
  </si>
  <si>
    <t>万广珍</t>
  </si>
  <si>
    <t>王元利</t>
  </si>
  <si>
    <t>余顺子</t>
  </si>
  <si>
    <t>邝文蔚</t>
  </si>
  <si>
    <t>孔颖</t>
  </si>
  <si>
    <t>陈奕高</t>
  </si>
  <si>
    <t>王海珠</t>
  </si>
  <si>
    <t>邢文珍</t>
  </si>
  <si>
    <t>容端</t>
  </si>
  <si>
    <t>王军欢</t>
  </si>
  <si>
    <t>冯倩</t>
  </si>
  <si>
    <t>戴学斌</t>
  </si>
  <si>
    <t>陈同宽</t>
  </si>
  <si>
    <t>王纯娃</t>
  </si>
  <si>
    <t>吴淑和</t>
  </si>
  <si>
    <t>曾霞</t>
  </si>
  <si>
    <t>韦玉莹</t>
  </si>
  <si>
    <t>陈添</t>
  </si>
  <si>
    <t>彭惠红</t>
  </si>
  <si>
    <t>陈巍</t>
  </si>
  <si>
    <t>周潮敏</t>
  </si>
  <si>
    <t>罗海涛</t>
  </si>
  <si>
    <t>李静姣</t>
  </si>
  <si>
    <t>符传雄</t>
  </si>
  <si>
    <t>方莉</t>
  </si>
  <si>
    <t>符先翠</t>
  </si>
  <si>
    <t>王茹冰</t>
  </si>
  <si>
    <t>黎吉焕</t>
  </si>
  <si>
    <t>邓万丽</t>
  </si>
  <si>
    <t>苏云剑</t>
  </si>
  <si>
    <t>陈依莎</t>
  </si>
  <si>
    <t>林霏</t>
  </si>
  <si>
    <t>麦琪琪</t>
  </si>
  <si>
    <t>姜欣宏</t>
  </si>
  <si>
    <t>陈昕</t>
  </si>
  <si>
    <t>卓雨梦</t>
  </si>
  <si>
    <t>许莹萱</t>
  </si>
  <si>
    <t>李琴</t>
  </si>
  <si>
    <t>林芊妤</t>
  </si>
  <si>
    <t>邓华怡</t>
  </si>
  <si>
    <t>董柠柠</t>
  </si>
  <si>
    <t>杜雲烟</t>
  </si>
  <si>
    <t>吴艳婷</t>
  </si>
  <si>
    <t>张嘉琳</t>
  </si>
  <si>
    <t>秦风娟</t>
  </si>
  <si>
    <t>王少完</t>
  </si>
  <si>
    <t>蔡亦秋</t>
  </si>
  <si>
    <t>曾素</t>
  </si>
  <si>
    <t>陈立淑</t>
  </si>
  <si>
    <t>丁琪玥</t>
  </si>
  <si>
    <t>郑引凰</t>
  </si>
  <si>
    <t>羊丽丽</t>
  </si>
  <si>
    <t>郑有强</t>
  </si>
  <si>
    <t>唐世问</t>
  </si>
  <si>
    <t>吴淑仍</t>
  </si>
  <si>
    <t>唐小蜓</t>
  </si>
  <si>
    <t>刘君瑶</t>
  </si>
  <si>
    <t>王陈慧</t>
  </si>
  <si>
    <t>莫晓芳</t>
  </si>
  <si>
    <t>吴桂香</t>
  </si>
  <si>
    <t>陈培</t>
  </si>
  <si>
    <t>董进诗</t>
  </si>
  <si>
    <t>张茗宇</t>
  </si>
  <si>
    <t>谭美翠</t>
  </si>
  <si>
    <t>吴双华</t>
  </si>
  <si>
    <t>张英杏</t>
  </si>
  <si>
    <t>郭金萍</t>
  </si>
  <si>
    <t>黄明伟</t>
  </si>
  <si>
    <t>陈文娇</t>
  </si>
  <si>
    <t>李布振</t>
  </si>
  <si>
    <t>黄有莲</t>
  </si>
  <si>
    <t>杨丹</t>
  </si>
  <si>
    <t>杨颖</t>
  </si>
  <si>
    <t>林士琪</t>
  </si>
  <si>
    <t>羊有菊</t>
  </si>
  <si>
    <t>王一锦</t>
  </si>
  <si>
    <t>蒋海梅</t>
  </si>
  <si>
    <t>翁玉娜</t>
  </si>
  <si>
    <t>陈南珍</t>
  </si>
  <si>
    <t>王艺雯</t>
  </si>
  <si>
    <t>周兰</t>
  </si>
  <si>
    <t>赖婉婷</t>
  </si>
  <si>
    <t>翁敏</t>
  </si>
  <si>
    <t>邢孔芸</t>
  </si>
  <si>
    <t>莫亚燕</t>
  </si>
  <si>
    <t>刘诗欣</t>
  </si>
  <si>
    <t>郭柳杏</t>
  </si>
  <si>
    <t>陈小鸿</t>
  </si>
  <si>
    <t>裴威侃</t>
  </si>
  <si>
    <t>孙泰秋</t>
  </si>
  <si>
    <t>吴俐</t>
  </si>
  <si>
    <t>陈海斌</t>
  </si>
  <si>
    <t>王莲芳</t>
  </si>
  <si>
    <t>吴汉春</t>
  </si>
  <si>
    <t>祁辅智</t>
  </si>
  <si>
    <t>吴景章</t>
  </si>
  <si>
    <t>李春萍</t>
  </si>
  <si>
    <t>陈智文</t>
  </si>
  <si>
    <t>陈龙燕</t>
  </si>
  <si>
    <t>陈思琦</t>
  </si>
  <si>
    <t>罗家伦</t>
  </si>
  <si>
    <t>覃梦诗</t>
  </si>
  <si>
    <t>陈丽鸿</t>
  </si>
  <si>
    <t>梅秀兰</t>
  </si>
  <si>
    <t>刘新然</t>
  </si>
  <si>
    <t>王亚菲</t>
  </si>
  <si>
    <t>王丹诺</t>
  </si>
  <si>
    <t>姚香香</t>
  </si>
  <si>
    <t>吴尚奋</t>
  </si>
  <si>
    <t>洪丽丽</t>
  </si>
  <si>
    <t>杨振宇</t>
  </si>
  <si>
    <t>温馨</t>
  </si>
  <si>
    <t>潘高明</t>
  </si>
  <si>
    <t>邓斌斌</t>
  </si>
  <si>
    <t>韦小芳</t>
  </si>
  <si>
    <t>陈月桂</t>
  </si>
  <si>
    <t>林琳</t>
  </si>
  <si>
    <t>王雅芳</t>
  </si>
  <si>
    <t>符亚娜</t>
  </si>
  <si>
    <t>谢瑾</t>
  </si>
  <si>
    <t>陈影</t>
  </si>
  <si>
    <t>黄风词</t>
  </si>
  <si>
    <t>吴世茏</t>
  </si>
  <si>
    <t>陈晓微</t>
  </si>
  <si>
    <t>林莎</t>
  </si>
  <si>
    <t>周林琳</t>
  </si>
  <si>
    <t>羊儒林</t>
  </si>
  <si>
    <t>蔡丽君</t>
  </si>
  <si>
    <t>郑俊涛</t>
  </si>
  <si>
    <t>李丽南</t>
  </si>
  <si>
    <t>郑春艳</t>
  </si>
  <si>
    <t>谢香梅</t>
  </si>
  <si>
    <t>曾杰</t>
  </si>
  <si>
    <t>郑珍妮</t>
  </si>
  <si>
    <t>周慧强</t>
  </si>
  <si>
    <t>邢惠媚</t>
  </si>
  <si>
    <t>陈燕腊</t>
  </si>
  <si>
    <t>邓超</t>
  </si>
  <si>
    <t>符河东</t>
  </si>
  <si>
    <t>周羿彤</t>
  </si>
  <si>
    <t>陈柳君</t>
  </si>
  <si>
    <t>郑景夫</t>
  </si>
  <si>
    <t>黄炳升</t>
  </si>
  <si>
    <t>余蕙妍</t>
  </si>
  <si>
    <t>蔡贝宁</t>
  </si>
  <si>
    <t>邹丽香</t>
  </si>
  <si>
    <t>陈良秋</t>
  </si>
  <si>
    <t>潘上果</t>
  </si>
  <si>
    <t>邱雪莲</t>
  </si>
  <si>
    <t>陈绵丹</t>
  </si>
  <si>
    <t>吴婵蔓</t>
  </si>
  <si>
    <t>游冬梅</t>
  </si>
  <si>
    <t>谢棠</t>
  </si>
  <si>
    <t>韩海燕</t>
  </si>
  <si>
    <t>童东</t>
  </si>
  <si>
    <t>115</t>
  </si>
  <si>
    <t>中学生物</t>
  </si>
  <si>
    <t>陈贻霖</t>
  </si>
  <si>
    <t>符小英</t>
  </si>
  <si>
    <t>黄丽婉</t>
  </si>
  <si>
    <t>刘青霞</t>
  </si>
  <si>
    <t>曾耀英</t>
  </si>
  <si>
    <t>朱奕烹</t>
  </si>
  <si>
    <t>蔡宇飞</t>
  </si>
  <si>
    <t>邱昌倩</t>
  </si>
  <si>
    <t>杨瑜</t>
  </si>
  <si>
    <t>吴崇玉</t>
  </si>
  <si>
    <t>张名娟</t>
  </si>
  <si>
    <t>黄兆娟</t>
  </si>
  <si>
    <t>陈倩倩</t>
  </si>
  <si>
    <t xml:space="preserve">罗蓓 </t>
  </si>
  <si>
    <t>陈少曼</t>
  </si>
  <si>
    <t>许青</t>
  </si>
  <si>
    <t>王祺定</t>
  </si>
  <si>
    <t>陈青意</t>
  </si>
  <si>
    <t>黄海漾</t>
  </si>
  <si>
    <t>叶心意</t>
  </si>
  <si>
    <t>包莹莹</t>
  </si>
  <si>
    <t>陈金玉</t>
  </si>
  <si>
    <t>唐海丽</t>
  </si>
  <si>
    <t>符芳源</t>
  </si>
  <si>
    <t>薛尧萑</t>
  </si>
  <si>
    <t>孙蓉</t>
  </si>
  <si>
    <t>柯静蕊</t>
  </si>
  <si>
    <t>黄杏丁</t>
  </si>
  <si>
    <t>匡燕</t>
  </si>
  <si>
    <t>范东永</t>
  </si>
  <si>
    <t>黎俊诗</t>
  </si>
  <si>
    <t>洪莉燕</t>
  </si>
  <si>
    <t>林秀婷</t>
  </si>
  <si>
    <t>陈恬恬</t>
  </si>
  <si>
    <t>黎鑫</t>
  </si>
  <si>
    <t>陈盈妹</t>
  </si>
  <si>
    <t>吴倩倩</t>
  </si>
  <si>
    <t>邢迎</t>
  </si>
  <si>
    <t>符冰冰</t>
  </si>
  <si>
    <t>徐有连</t>
  </si>
  <si>
    <t>郑青见</t>
  </si>
  <si>
    <t>谢克振</t>
  </si>
  <si>
    <t>陈舒</t>
  </si>
  <si>
    <t>罗瑜</t>
  </si>
  <si>
    <t>王玉萍</t>
  </si>
  <si>
    <t>林本璐</t>
  </si>
  <si>
    <t>何资颖</t>
  </si>
  <si>
    <t>唐琳玲</t>
  </si>
  <si>
    <t>徐加慧</t>
  </si>
  <si>
    <t>林诗国</t>
  </si>
  <si>
    <t>吴帆</t>
  </si>
  <si>
    <t>张天艳</t>
  </si>
  <si>
    <t>朱蕾</t>
  </si>
  <si>
    <t>王荣丹</t>
  </si>
  <si>
    <t>占玉珍</t>
  </si>
  <si>
    <t>吴姨美</t>
  </si>
  <si>
    <t>张美虹</t>
  </si>
  <si>
    <t>吴家月</t>
  </si>
  <si>
    <t>张芯</t>
  </si>
  <si>
    <t>陈樱</t>
  </si>
  <si>
    <t>王淑娜</t>
  </si>
  <si>
    <t>吉春列</t>
  </si>
  <si>
    <t>张恩</t>
  </si>
  <si>
    <t>林倩妃</t>
  </si>
  <si>
    <t>陈小卉</t>
  </si>
  <si>
    <t>曾晓梅</t>
  </si>
  <si>
    <t>梅海英</t>
  </si>
  <si>
    <t>唐敏</t>
  </si>
  <si>
    <t>符发和</t>
  </si>
  <si>
    <t>符荣珍</t>
  </si>
  <si>
    <t>章淇</t>
  </si>
  <si>
    <t>曾润娟</t>
  </si>
  <si>
    <t>符传丹</t>
  </si>
  <si>
    <t>庄雅</t>
  </si>
  <si>
    <t>何佳彧</t>
  </si>
  <si>
    <t>王裕銮</t>
  </si>
  <si>
    <t>李文丹</t>
  </si>
  <si>
    <t>陈晓霞</t>
  </si>
  <si>
    <t>吴婕妤</t>
  </si>
  <si>
    <t>黄雪艳</t>
  </si>
  <si>
    <t>邱海燕</t>
  </si>
  <si>
    <t>孙雯</t>
  </si>
  <si>
    <t>钱慧</t>
  </si>
  <si>
    <t>陈燕珠</t>
  </si>
  <si>
    <t>符朝珍</t>
  </si>
  <si>
    <t>李倩雯</t>
  </si>
  <si>
    <t>郑少玉</t>
  </si>
  <si>
    <t>倪娇娇</t>
  </si>
  <si>
    <t>陈友慧</t>
  </si>
  <si>
    <t>吴文娜</t>
  </si>
  <si>
    <t>周彩今</t>
  </si>
  <si>
    <t>李香妮</t>
  </si>
  <si>
    <t>黎基敏</t>
  </si>
  <si>
    <t>何芳杏</t>
  </si>
  <si>
    <t>陈石蕾</t>
  </si>
  <si>
    <t>吴原榕</t>
  </si>
  <si>
    <t>邱紫欣</t>
  </si>
  <si>
    <t>叶虹</t>
  </si>
  <si>
    <t>黄民钰</t>
  </si>
  <si>
    <t>余蒙</t>
  </si>
  <si>
    <t>符小丹</t>
  </si>
  <si>
    <t>张芳梅</t>
  </si>
  <si>
    <t>陈子銮</t>
  </si>
  <si>
    <t>吴冬仪</t>
  </si>
  <si>
    <t>秦玉蓉</t>
  </si>
  <si>
    <t>刘娅</t>
  </si>
  <si>
    <t>陈方静</t>
  </si>
  <si>
    <t>李誉丹</t>
  </si>
  <si>
    <t>王君</t>
  </si>
  <si>
    <t>李庆彩</t>
  </si>
  <si>
    <t>符丽莹</t>
  </si>
  <si>
    <t>王清清</t>
  </si>
  <si>
    <t>黎楚怡</t>
  </si>
  <si>
    <t>周慧</t>
  </si>
  <si>
    <t>温小宁</t>
  </si>
  <si>
    <t>徐彤</t>
  </si>
  <si>
    <t>叶小玉</t>
  </si>
  <si>
    <t>张斯沁</t>
  </si>
  <si>
    <t>邢雯琳</t>
  </si>
  <si>
    <t>王佳莹</t>
  </si>
  <si>
    <t>周志霞</t>
  </si>
  <si>
    <t>吉才红</t>
  </si>
  <si>
    <t>蒙志成</t>
  </si>
  <si>
    <t>张丽荣</t>
  </si>
  <si>
    <t>郭圣汝</t>
  </si>
  <si>
    <t>江蕾</t>
  </si>
  <si>
    <t>莫启燕</t>
  </si>
  <si>
    <t>林佳佳</t>
  </si>
  <si>
    <t>金丹花</t>
  </si>
  <si>
    <t>陈彦彤</t>
  </si>
  <si>
    <t>张宇豪</t>
  </si>
  <si>
    <t>符含萍</t>
  </si>
  <si>
    <t>邹燕</t>
  </si>
  <si>
    <t>钱俏君</t>
  </si>
  <si>
    <t>李昌铠</t>
  </si>
  <si>
    <t>黄祥奇</t>
  </si>
  <si>
    <t>黄丽升</t>
  </si>
  <si>
    <t>谢爱娜</t>
  </si>
  <si>
    <t>谭彩玲</t>
  </si>
  <si>
    <t>王柔婷</t>
  </si>
  <si>
    <t>李媛</t>
  </si>
  <si>
    <t>廖小娴</t>
  </si>
  <si>
    <t>李泽章</t>
  </si>
  <si>
    <t>李玥</t>
  </si>
  <si>
    <t>李翼桃</t>
  </si>
  <si>
    <t>叶虹艳</t>
  </si>
  <si>
    <t>辜柳霜</t>
  </si>
  <si>
    <t>许毅光</t>
  </si>
  <si>
    <t>赵倩</t>
  </si>
  <si>
    <t>谭慧艳</t>
  </si>
  <si>
    <t>林芳娃</t>
  </si>
  <si>
    <t>许彩熊</t>
  </si>
  <si>
    <t>李珏桦</t>
  </si>
  <si>
    <t>翁小冰</t>
  </si>
  <si>
    <t>黎正花</t>
  </si>
  <si>
    <t>卢燕</t>
  </si>
  <si>
    <t>吴亚琴</t>
  </si>
  <si>
    <t>莫孝娟</t>
  </si>
  <si>
    <t>符兰秀</t>
  </si>
  <si>
    <t>王妍晶</t>
  </si>
  <si>
    <t>黄玉</t>
  </si>
  <si>
    <t>陈龙划</t>
  </si>
  <si>
    <t>王诗琪</t>
  </si>
  <si>
    <t>刘海慧</t>
  </si>
  <si>
    <t>苏庆玲</t>
  </si>
  <si>
    <t>蒲英尾</t>
  </si>
  <si>
    <t>林芳江</t>
  </si>
  <si>
    <t>符晓凤</t>
  </si>
  <si>
    <t>李开浩</t>
  </si>
  <si>
    <t>洪水兰</t>
  </si>
  <si>
    <t>翁如玉</t>
  </si>
  <si>
    <t>何华桃</t>
  </si>
  <si>
    <t>钟学帆</t>
  </si>
  <si>
    <t>郑云蕾</t>
  </si>
  <si>
    <t>陈巧冰</t>
  </si>
  <si>
    <t>潘小婷</t>
  </si>
  <si>
    <t>丁乐于</t>
  </si>
  <si>
    <t>符明慧</t>
  </si>
  <si>
    <t>钟宇</t>
  </si>
  <si>
    <t>胡润华</t>
  </si>
  <si>
    <t>周晶晶</t>
  </si>
  <si>
    <t>苏运玉</t>
  </si>
  <si>
    <t>郑来南</t>
  </si>
  <si>
    <t>符秋丹</t>
  </si>
  <si>
    <t>张恋恋</t>
  </si>
  <si>
    <t>杨媛媛</t>
  </si>
  <si>
    <t>莫青云</t>
  </si>
  <si>
    <t>赵瑞华</t>
  </si>
  <si>
    <t>陈明</t>
  </si>
  <si>
    <t>王慧娇</t>
  </si>
  <si>
    <t>李雅恋</t>
  </si>
  <si>
    <t>林雯</t>
  </si>
  <si>
    <t>严曼莎</t>
  </si>
  <si>
    <t>杜玉枫</t>
  </si>
  <si>
    <t>苏丽晓</t>
  </si>
  <si>
    <t>王柏仙</t>
  </si>
  <si>
    <t>蒲乙琴</t>
  </si>
  <si>
    <t>杜孟南</t>
  </si>
  <si>
    <t>羊英荣</t>
  </si>
  <si>
    <t>王鑫洋</t>
  </si>
  <si>
    <t>陈少宛</t>
  </si>
  <si>
    <t>吴小妮</t>
  </si>
  <si>
    <t>李秋婵</t>
  </si>
  <si>
    <t>龙品凝</t>
  </si>
  <si>
    <t>唐小微</t>
  </si>
  <si>
    <t>吴蔓</t>
  </si>
  <si>
    <t>林志芬</t>
  </si>
  <si>
    <t>陈静怡</t>
  </si>
  <si>
    <t>王润琦</t>
  </si>
  <si>
    <t>辛明悦</t>
  </si>
  <si>
    <t>陈碧虹</t>
  </si>
  <si>
    <t>林良萍</t>
  </si>
  <si>
    <t>邓冠香</t>
  </si>
  <si>
    <t>刘顺静</t>
  </si>
  <si>
    <t>龙雪莲</t>
  </si>
  <si>
    <t>王丽娟</t>
  </si>
  <si>
    <t>周灯知</t>
  </si>
  <si>
    <t>黎冠梅</t>
  </si>
  <si>
    <t>张翔</t>
  </si>
  <si>
    <t>梁银</t>
  </si>
  <si>
    <t>颜琼香</t>
  </si>
  <si>
    <t>兰丹利</t>
  </si>
  <si>
    <t>陈月维</t>
  </si>
  <si>
    <t>王平勇</t>
  </si>
  <si>
    <t>程娟</t>
  </si>
  <si>
    <t>张熙健</t>
  </si>
  <si>
    <t>詹璟</t>
  </si>
  <si>
    <t>董美妤</t>
  </si>
  <si>
    <t>陈英</t>
  </si>
  <si>
    <t>邓婷婷</t>
  </si>
  <si>
    <t>文世龄</t>
  </si>
  <si>
    <t>陈小芸</t>
  </si>
  <si>
    <t>林能玲</t>
  </si>
  <si>
    <t>陈泽韵</t>
  </si>
  <si>
    <t>何天晶</t>
  </si>
  <si>
    <t>王小琼</t>
  </si>
  <si>
    <t>蓝雨柔</t>
  </si>
  <si>
    <t>谢莹</t>
  </si>
  <si>
    <t>林子栋</t>
  </si>
  <si>
    <t>吴淑玲</t>
  </si>
  <si>
    <t>吴承忠</t>
  </si>
  <si>
    <t>吴冰冰</t>
  </si>
  <si>
    <t>孙芳</t>
  </si>
  <si>
    <t>符桂铃</t>
  </si>
  <si>
    <t>林慧敏</t>
  </si>
  <si>
    <t>谢瑞雪</t>
  </si>
  <si>
    <t>黄良涛</t>
  </si>
  <si>
    <t>王澜洁</t>
  </si>
  <si>
    <t>翁晓虹</t>
  </si>
  <si>
    <t>翁楠</t>
  </si>
  <si>
    <t>朱行佳</t>
  </si>
  <si>
    <t>王心欣</t>
  </si>
  <si>
    <t>叶焕君</t>
  </si>
  <si>
    <t>杜思思</t>
  </si>
  <si>
    <t>陈彩蝶</t>
  </si>
  <si>
    <t>陈文娥</t>
  </si>
  <si>
    <t>吴纾维</t>
  </si>
  <si>
    <t>吴蝶</t>
  </si>
  <si>
    <t>王冬梅</t>
  </si>
  <si>
    <t>曾颖莹</t>
  </si>
  <si>
    <t>李志晴</t>
  </si>
  <si>
    <t>杨婕</t>
  </si>
  <si>
    <t>张子珍</t>
  </si>
  <si>
    <t>王梦娜</t>
  </si>
  <si>
    <t>蔡雪</t>
  </si>
  <si>
    <t>陈丹琪</t>
  </si>
  <si>
    <t>许炳菲</t>
  </si>
  <si>
    <t>林川</t>
  </si>
  <si>
    <t>唐全</t>
  </si>
  <si>
    <t>符蕊</t>
  </si>
  <si>
    <t>王华冬</t>
  </si>
  <si>
    <t>许丽雅</t>
  </si>
  <si>
    <t>王蛟</t>
  </si>
  <si>
    <t>王彩清</t>
  </si>
  <si>
    <t>王明珠</t>
  </si>
  <si>
    <t>吴艳蕾</t>
  </si>
  <si>
    <t>符丽纳</t>
  </si>
  <si>
    <t>何蕾</t>
  </si>
  <si>
    <t>王愉</t>
  </si>
  <si>
    <t>吴英和</t>
  </si>
  <si>
    <t>张昕</t>
  </si>
  <si>
    <t>张民鲜</t>
  </si>
  <si>
    <t>梁海英</t>
  </si>
  <si>
    <t>王慧茹</t>
  </si>
  <si>
    <t>黄佳谊</t>
  </si>
  <si>
    <t>吴文希</t>
  </si>
  <si>
    <t>陈桂来</t>
  </si>
  <si>
    <t>吴小萍</t>
  </si>
  <si>
    <t>许露娜</t>
  </si>
  <si>
    <t>陈莎莉</t>
  </si>
  <si>
    <t>邢益好</t>
  </si>
  <si>
    <t>苏真</t>
  </si>
  <si>
    <t>黄夏梦</t>
  </si>
  <si>
    <t>施宝仪</t>
  </si>
  <si>
    <t>陈丽吉</t>
  </si>
  <si>
    <t>王咪咪</t>
  </si>
  <si>
    <t>张青</t>
  </si>
  <si>
    <t>叶晨希</t>
  </si>
  <si>
    <t>石秀慧</t>
  </si>
  <si>
    <t>林潞馨</t>
  </si>
  <si>
    <t>林道萍</t>
  </si>
  <si>
    <t>张小短</t>
  </si>
  <si>
    <t>王海韵</t>
  </si>
  <si>
    <t>吕姗珊</t>
  </si>
  <si>
    <t>周亚莲</t>
  </si>
  <si>
    <t>王霞</t>
  </si>
  <si>
    <t>黎慧芳</t>
  </si>
  <si>
    <t>刘婧</t>
  </si>
  <si>
    <t>何和堂</t>
  </si>
  <si>
    <t>刘乐乐</t>
  </si>
  <si>
    <t>林婧娇</t>
  </si>
  <si>
    <t>李美妃</t>
  </si>
  <si>
    <t>116</t>
  </si>
  <si>
    <t>中学数学</t>
  </si>
  <si>
    <t>王梦霞</t>
  </si>
  <si>
    <t>张昌麒</t>
  </si>
  <si>
    <t>翁陈鑫</t>
  </si>
  <si>
    <t>徐静璇</t>
  </si>
  <si>
    <t>何书咏</t>
  </si>
  <si>
    <t>陈佳莹</t>
  </si>
  <si>
    <t>程雯</t>
  </si>
  <si>
    <t>彭深</t>
  </si>
  <si>
    <t>何丽燕</t>
  </si>
  <si>
    <t>梁其博</t>
  </si>
  <si>
    <t>赵嘉玮</t>
  </si>
  <si>
    <t>孔祥运</t>
  </si>
  <si>
    <t>陈星玉</t>
  </si>
  <si>
    <t>陈妙萍</t>
  </si>
  <si>
    <t>黄昊翔</t>
  </si>
  <si>
    <t>王春微</t>
  </si>
  <si>
    <t>黄善杨</t>
  </si>
  <si>
    <t>欧诗雯</t>
  </si>
  <si>
    <t>王杰</t>
  </si>
  <si>
    <t>彭淼</t>
  </si>
  <si>
    <t>吴玫昕</t>
  </si>
  <si>
    <t>彭荣卷</t>
  </si>
  <si>
    <t>范文君</t>
  </si>
  <si>
    <t>符香蕾</t>
  </si>
  <si>
    <t>陈思羽</t>
  </si>
  <si>
    <t>林宏超</t>
  </si>
  <si>
    <t>李泽慧</t>
  </si>
  <si>
    <t>曾令嘉</t>
  </si>
  <si>
    <t>骆虹瑾</t>
  </si>
  <si>
    <t>林兰</t>
  </si>
  <si>
    <t>薛秋盖</t>
  </si>
  <si>
    <t>高军华</t>
  </si>
  <si>
    <t>张煊</t>
  </si>
  <si>
    <t>刘颖霜</t>
  </si>
  <si>
    <t>陆铮铮</t>
  </si>
  <si>
    <t>谢玲玲</t>
  </si>
  <si>
    <t>黄浪</t>
  </si>
  <si>
    <t>梁正鹏</t>
  </si>
  <si>
    <t>陈苗</t>
  </si>
  <si>
    <t>莫采彬</t>
  </si>
  <si>
    <t>王明海</t>
  </si>
  <si>
    <t>王娇美</t>
  </si>
  <si>
    <t>符文倩</t>
  </si>
  <si>
    <t>陈余英</t>
  </si>
  <si>
    <t>梁美珠</t>
  </si>
  <si>
    <t>张泽浩</t>
  </si>
  <si>
    <t>黎琪</t>
  </si>
  <si>
    <t>陈洋</t>
  </si>
  <si>
    <t>谢秋良</t>
  </si>
  <si>
    <t>吴莹</t>
  </si>
  <si>
    <t>翁瑜蔚</t>
  </si>
  <si>
    <t>高菊</t>
  </si>
  <si>
    <t>李洪莉</t>
  </si>
  <si>
    <t>陈思思</t>
  </si>
  <si>
    <t>沈月</t>
  </si>
  <si>
    <t>侯辰霏</t>
  </si>
  <si>
    <t>符诗燕</t>
  </si>
  <si>
    <t>陈名杨</t>
  </si>
  <si>
    <t>朱玉兰</t>
  </si>
  <si>
    <t>羊秋 芬</t>
  </si>
  <si>
    <t>符桂女</t>
  </si>
  <si>
    <t>文晓慧</t>
  </si>
  <si>
    <t>何儿</t>
  </si>
  <si>
    <t>顾颖</t>
  </si>
  <si>
    <t>谢瑞琦</t>
  </si>
  <si>
    <t>简天智</t>
  </si>
  <si>
    <t>董翠</t>
  </si>
  <si>
    <t>郭映</t>
  </si>
  <si>
    <t>王明祎</t>
  </si>
  <si>
    <t>冯闽琴</t>
  </si>
  <si>
    <t>程松</t>
  </si>
  <si>
    <t>何家诗</t>
  </si>
  <si>
    <t>符儒玲</t>
  </si>
  <si>
    <t>余鑫华</t>
  </si>
  <si>
    <t>丁在勇</t>
  </si>
  <si>
    <t>许美丹</t>
  </si>
  <si>
    <t>陈彦米</t>
  </si>
  <si>
    <t>林碧霞</t>
  </si>
  <si>
    <t>陈亭汐</t>
  </si>
  <si>
    <t>吴培君</t>
  </si>
  <si>
    <t>夏玉媚</t>
  </si>
  <si>
    <t>李怡婕</t>
  </si>
  <si>
    <t>李毅妹</t>
  </si>
  <si>
    <t>刘思竹</t>
  </si>
  <si>
    <t>张秀卷</t>
  </si>
  <si>
    <t>巩嘉伟</t>
  </si>
  <si>
    <t>田师文</t>
  </si>
  <si>
    <t>陈秀联</t>
  </si>
  <si>
    <t>符志婷</t>
  </si>
  <si>
    <t>凌岩岩</t>
  </si>
  <si>
    <t>陈壹丹</t>
  </si>
  <si>
    <t>李旺</t>
  </si>
  <si>
    <t>王彦宏</t>
  </si>
  <si>
    <t>陈木川</t>
  </si>
  <si>
    <t>林秀花</t>
  </si>
  <si>
    <t>李鑫</t>
  </si>
  <si>
    <t>林香</t>
  </si>
  <si>
    <t>何小丽</t>
  </si>
  <si>
    <t>黎惠源</t>
  </si>
  <si>
    <t>陈莹莹</t>
  </si>
  <si>
    <t>陈馨</t>
  </si>
  <si>
    <t>林秋焕</t>
  </si>
  <si>
    <t>林丹</t>
  </si>
  <si>
    <t>蔡刚</t>
  </si>
  <si>
    <t>邢坤</t>
  </si>
  <si>
    <t>欧开培</t>
  </si>
  <si>
    <t>万火玉</t>
  </si>
  <si>
    <t>潘乙婉</t>
  </si>
  <si>
    <t>乔莉</t>
  </si>
  <si>
    <t>邢增丽</t>
  </si>
  <si>
    <t>梁贤</t>
  </si>
  <si>
    <t>吴明浚</t>
  </si>
  <si>
    <t>冯梁丽</t>
  </si>
  <si>
    <t>陈秦帅</t>
  </si>
  <si>
    <t>张茜萱</t>
  </si>
  <si>
    <t>吴江文</t>
  </si>
  <si>
    <t>李定爱</t>
  </si>
  <si>
    <t>谢杰玲</t>
  </si>
  <si>
    <t>黄锦龙</t>
  </si>
  <si>
    <t>陈小冬</t>
  </si>
  <si>
    <t>占燕萍</t>
  </si>
  <si>
    <t>黄玺道</t>
  </si>
  <si>
    <t>吴伟幸</t>
  </si>
  <si>
    <t>唐秋月</t>
  </si>
  <si>
    <t>甄汉江</t>
  </si>
  <si>
    <t>陈玉凤</t>
  </si>
  <si>
    <t>符慧娇</t>
  </si>
  <si>
    <t>邱发莹</t>
  </si>
  <si>
    <t>吴钟宁</t>
  </si>
  <si>
    <t>张咪</t>
  </si>
  <si>
    <t>黄赞彬</t>
  </si>
  <si>
    <t>杜金泳</t>
  </si>
  <si>
    <t>邢芳</t>
  </si>
  <si>
    <t xml:space="preserve"> 符燕莹</t>
  </si>
  <si>
    <t xml:space="preserve"> 佟子钰</t>
  </si>
  <si>
    <t>李祥烨</t>
  </si>
  <si>
    <t>陈翠柳</t>
  </si>
  <si>
    <t>邓娟妹</t>
  </si>
  <si>
    <t>文茵</t>
  </si>
  <si>
    <t>许烽</t>
  </si>
  <si>
    <t>陈荣才</t>
  </si>
  <si>
    <t>梁美燕</t>
  </si>
  <si>
    <t>陈海彬</t>
  </si>
  <si>
    <t>汤磊</t>
  </si>
  <si>
    <t>黄杰</t>
  </si>
  <si>
    <t>林方蛟</t>
  </si>
  <si>
    <t>117</t>
  </si>
  <si>
    <t>中学体育</t>
  </si>
  <si>
    <t>陈崇明</t>
  </si>
  <si>
    <t>马宇杰</t>
  </si>
  <si>
    <t>齐闯</t>
  </si>
  <si>
    <t>张华卓</t>
  </si>
  <si>
    <t>洪光弼</t>
  </si>
  <si>
    <t>陈俊宏</t>
  </si>
  <si>
    <t>孙嘉伟</t>
  </si>
  <si>
    <t>符丽娜</t>
  </si>
  <si>
    <t>邢溢桓</t>
  </si>
  <si>
    <t>王育全</t>
  </si>
  <si>
    <t>徐杰</t>
  </si>
  <si>
    <t>张其冲</t>
  </si>
  <si>
    <t>李微</t>
  </si>
  <si>
    <t>卜玉燕</t>
  </si>
  <si>
    <t>唐振宇</t>
  </si>
  <si>
    <t>王达葵</t>
  </si>
  <si>
    <t>韩勇定</t>
  </si>
  <si>
    <t>邓程俊</t>
  </si>
  <si>
    <t>蔡汝瑞</t>
  </si>
  <si>
    <t>陈丽强</t>
  </si>
  <si>
    <t>梁家龙</t>
  </si>
  <si>
    <t>吉训赛</t>
  </si>
  <si>
    <t>欧俊华</t>
  </si>
  <si>
    <t>陈玟宇</t>
  </si>
  <si>
    <t>户俊钧</t>
  </si>
  <si>
    <t>周中荣</t>
  </si>
  <si>
    <t>李淑怡</t>
  </si>
  <si>
    <t>梁三弟</t>
  </si>
  <si>
    <t>林诗展</t>
  </si>
  <si>
    <t>曾浦峰</t>
  </si>
  <si>
    <t>马景涛</t>
  </si>
  <si>
    <t>冯逸竹</t>
  </si>
  <si>
    <t>徐文琢</t>
  </si>
  <si>
    <t>林明宇</t>
  </si>
  <si>
    <t>罗鸣</t>
  </si>
  <si>
    <t>戴俄海</t>
  </si>
  <si>
    <t>容志峰</t>
  </si>
  <si>
    <t>王家琦</t>
  </si>
  <si>
    <t>林爱雄</t>
  </si>
  <si>
    <t>莫乐杰</t>
  </si>
  <si>
    <t>章文俊</t>
  </si>
  <si>
    <t>童继棉</t>
  </si>
  <si>
    <t>雷大松</t>
  </si>
  <si>
    <t>郭真锐</t>
  </si>
  <si>
    <t>符永璋</t>
  </si>
  <si>
    <t>林寿呈</t>
  </si>
  <si>
    <t>符志航</t>
  </si>
  <si>
    <t>李伊滢</t>
  </si>
  <si>
    <t>万霞</t>
  </si>
  <si>
    <t>林成龙</t>
  </si>
  <si>
    <t>潘磊钢</t>
  </si>
  <si>
    <t>韩雪傲</t>
  </si>
  <si>
    <t>吕岩松</t>
  </si>
  <si>
    <t>罗留洋</t>
  </si>
  <si>
    <t>龙婉愉</t>
  </si>
  <si>
    <t>吴嫣</t>
  </si>
  <si>
    <t>史辉禄</t>
  </si>
  <si>
    <t>蔡兴超</t>
  </si>
  <si>
    <t>黄实帅</t>
  </si>
  <si>
    <t>简天泽</t>
  </si>
  <si>
    <t>黄辅委</t>
  </si>
  <si>
    <t>朱信彩</t>
  </si>
  <si>
    <t>邱杨慧</t>
  </si>
  <si>
    <t>冉夏欢</t>
  </si>
  <si>
    <t>雷希成</t>
  </si>
  <si>
    <t>青凯</t>
  </si>
  <si>
    <t>陈冠忠</t>
  </si>
  <si>
    <t>唐英龙</t>
  </si>
  <si>
    <t>周章来</t>
  </si>
  <si>
    <t>吴雅静</t>
  </si>
  <si>
    <t>李雯飞</t>
  </si>
  <si>
    <t>顾大柄</t>
  </si>
  <si>
    <t>张星</t>
  </si>
  <si>
    <t>陈学斌</t>
  </si>
  <si>
    <t>雷训</t>
  </si>
  <si>
    <t>黄朝静</t>
  </si>
  <si>
    <t>刘昊明</t>
  </si>
  <si>
    <t>刘菲菲</t>
  </si>
  <si>
    <t>李灿</t>
  </si>
  <si>
    <t>黄晨宏</t>
  </si>
  <si>
    <t>郑博伟</t>
  </si>
  <si>
    <t>赖理智</t>
  </si>
  <si>
    <t>辜林帅</t>
  </si>
  <si>
    <t>薛宇菲</t>
  </si>
  <si>
    <t>许兴霖</t>
  </si>
  <si>
    <t>朱兴健</t>
  </si>
  <si>
    <t>吴祖胤</t>
  </si>
  <si>
    <t>王大元</t>
  </si>
  <si>
    <t>陈元铭</t>
  </si>
  <si>
    <t>刘元霖</t>
  </si>
  <si>
    <t>邓正捷</t>
  </si>
  <si>
    <t>叶理泽</t>
  </si>
  <si>
    <t>李布高</t>
  </si>
  <si>
    <t>赵思宇</t>
  </si>
  <si>
    <t>邵世强</t>
  </si>
  <si>
    <t>118</t>
  </si>
  <si>
    <t>中学物理</t>
  </si>
  <si>
    <t>王绪月</t>
  </si>
  <si>
    <t>王焕嘉</t>
  </si>
  <si>
    <t>朱乃惠</t>
  </si>
  <si>
    <t>李平道</t>
  </si>
  <si>
    <t>张雅轩</t>
  </si>
  <si>
    <t>吴世茂</t>
  </si>
  <si>
    <t>潘天雪</t>
  </si>
  <si>
    <t>吴文岚</t>
  </si>
  <si>
    <t>刘珊羽</t>
  </si>
  <si>
    <t>郭兴升</t>
  </si>
  <si>
    <t>郑日月</t>
  </si>
  <si>
    <t>韦盛</t>
  </si>
  <si>
    <t>吴多佳</t>
  </si>
  <si>
    <t>王震</t>
  </si>
  <si>
    <t>陈桂美</t>
  </si>
  <si>
    <t>陈奕伶</t>
  </si>
  <si>
    <t>简金桃</t>
  </si>
  <si>
    <t>潘初莲</t>
  </si>
  <si>
    <t>罗维潇</t>
  </si>
  <si>
    <t>王秋平</t>
  </si>
  <si>
    <t>魏月</t>
  </si>
  <si>
    <t>王修金</t>
  </si>
  <si>
    <t>陈棠涛</t>
  </si>
  <si>
    <t>严国豪</t>
  </si>
  <si>
    <t>李冰莹</t>
  </si>
  <si>
    <t>张冬洁</t>
  </si>
  <si>
    <t>李小丽</t>
  </si>
  <si>
    <t>邢维佳</t>
  </si>
  <si>
    <t>林少琴</t>
  </si>
  <si>
    <t>梁春燕</t>
  </si>
  <si>
    <t>王会影</t>
  </si>
  <si>
    <t>袁庭奇</t>
  </si>
  <si>
    <t>许杏菊</t>
  </si>
  <si>
    <t>李君位</t>
  </si>
  <si>
    <t>张志朋</t>
  </si>
  <si>
    <t>麦汝婷</t>
  </si>
  <si>
    <t>冯青桢</t>
  </si>
  <si>
    <t>吴桃坤</t>
  </si>
  <si>
    <t>邓丹</t>
  </si>
  <si>
    <t>陈来喜</t>
  </si>
  <si>
    <t xml:space="preserve">王敏 </t>
  </si>
  <si>
    <t>吴春翠</t>
  </si>
  <si>
    <t>王圣元</t>
  </si>
  <si>
    <t>杨英乔</t>
  </si>
  <si>
    <t>孙宝勇</t>
  </si>
  <si>
    <t>邓小转</t>
  </si>
  <si>
    <t>黎婷</t>
  </si>
  <si>
    <t>陈堂兵</t>
  </si>
  <si>
    <t>李博义</t>
  </si>
  <si>
    <t>王惠芳</t>
  </si>
  <si>
    <t>李丽香</t>
  </si>
  <si>
    <t>曾玉娟</t>
  </si>
  <si>
    <t>闫翠玲</t>
  </si>
  <si>
    <t>符秀弯</t>
  </si>
  <si>
    <t>陈益娇</t>
  </si>
  <si>
    <t>陈言玲</t>
  </si>
  <si>
    <t>洪新蕊</t>
  </si>
  <si>
    <t>谢根</t>
  </si>
  <si>
    <t>陈舒逸</t>
  </si>
  <si>
    <t>羊玉姣</t>
  </si>
  <si>
    <t>张梦娜</t>
  </si>
  <si>
    <t>罗威威</t>
  </si>
  <si>
    <t>吴玲美</t>
  </si>
  <si>
    <t>何史编</t>
  </si>
  <si>
    <t>陈荣善</t>
  </si>
  <si>
    <t>周鸿祯</t>
  </si>
  <si>
    <t>郑义浇</t>
  </si>
  <si>
    <t>周儒</t>
  </si>
  <si>
    <t>陈期旭</t>
  </si>
  <si>
    <t>梁顾競</t>
  </si>
  <si>
    <t>冯梁炳</t>
  </si>
  <si>
    <t>叶小娇</t>
  </si>
  <si>
    <t>梁孟嘉</t>
  </si>
  <si>
    <t>陈翠红</t>
  </si>
  <si>
    <t>杜晶晶</t>
  </si>
  <si>
    <t>柏继舜</t>
  </si>
  <si>
    <t>郑诗颜子</t>
  </si>
  <si>
    <t>符鲁慧</t>
  </si>
  <si>
    <t>孙淑燕</t>
  </si>
  <si>
    <t>杜家文</t>
  </si>
  <si>
    <t>黄灵敏</t>
  </si>
  <si>
    <t>蔡惠冰</t>
  </si>
  <si>
    <t>林岸</t>
  </si>
  <si>
    <t>李冬香</t>
  </si>
  <si>
    <t>吴佳倩</t>
  </si>
  <si>
    <t>肖丰</t>
  </si>
  <si>
    <t>林硕</t>
  </si>
  <si>
    <t>张亚姑</t>
  </si>
  <si>
    <t>符大书</t>
  </si>
  <si>
    <t>羊桂香</t>
  </si>
  <si>
    <t>陈芳婷</t>
  </si>
  <si>
    <t>周韬</t>
  </si>
  <si>
    <t>蔡真</t>
  </si>
  <si>
    <t>符家乐</t>
  </si>
  <si>
    <t>王秀敏</t>
  </si>
  <si>
    <t>冉浩阳</t>
  </si>
  <si>
    <t>穆业峰</t>
  </si>
  <si>
    <t>莫婷婷</t>
  </si>
  <si>
    <t>许明月</t>
  </si>
  <si>
    <t>李冰虹</t>
  </si>
  <si>
    <t>符文慧</t>
  </si>
  <si>
    <t>黄雨霞</t>
  </si>
  <si>
    <t>蔡汝林</t>
  </si>
  <si>
    <t>耿玥</t>
  </si>
  <si>
    <t>高菊先</t>
  </si>
  <si>
    <t>陈京蔚</t>
  </si>
  <si>
    <t>肖保转</t>
  </si>
  <si>
    <t>周晓娟</t>
  </si>
  <si>
    <t>韦诗韵</t>
  </si>
  <si>
    <t>张琦</t>
  </si>
  <si>
    <t>黄月丽</t>
  </si>
  <si>
    <t>符家圆</t>
  </si>
  <si>
    <t>吴晓蕾</t>
  </si>
  <si>
    <t>王少珍</t>
  </si>
  <si>
    <t>李青丽</t>
  </si>
  <si>
    <t>徐月豪</t>
  </si>
  <si>
    <t>吴雪珍</t>
  </si>
  <si>
    <t>文瑞彬</t>
  </si>
  <si>
    <t>黄佳敏</t>
  </si>
  <si>
    <t>王川</t>
  </si>
  <si>
    <t>张夏銮</t>
  </si>
  <si>
    <t>林春燕</t>
  </si>
  <si>
    <t>许艳婷</t>
  </si>
  <si>
    <t>邓丹花</t>
  </si>
  <si>
    <t>李彦容</t>
  </si>
  <si>
    <t>陈心若</t>
  </si>
  <si>
    <t>符苗苗</t>
  </si>
  <si>
    <t>陈小慧</t>
  </si>
  <si>
    <t>李玉芬</t>
  </si>
  <si>
    <t>陈月秋</t>
  </si>
  <si>
    <t>孙发创</t>
  </si>
  <si>
    <t>廖鹏儒</t>
  </si>
  <si>
    <t>黎秋侬</t>
  </si>
  <si>
    <t>曾海华</t>
  </si>
  <si>
    <t>黄甫康</t>
  </si>
  <si>
    <t>官为民</t>
  </si>
  <si>
    <t>王友强</t>
  </si>
  <si>
    <t>王小庭</t>
  </si>
  <si>
    <t>滕发广</t>
  </si>
  <si>
    <t>刘晓惠</t>
  </si>
  <si>
    <t>符思琳</t>
  </si>
  <si>
    <t>黎启亮</t>
  </si>
  <si>
    <t>张金英</t>
  </si>
  <si>
    <t>李显利</t>
  </si>
  <si>
    <t>黄乔恋</t>
  </si>
  <si>
    <t>万江川</t>
  </si>
  <si>
    <t>朱晶晶</t>
  </si>
  <si>
    <t>梁君</t>
  </si>
  <si>
    <t>吕义晴</t>
  </si>
  <si>
    <t>郑富轩</t>
  </si>
  <si>
    <t>李乾道</t>
  </si>
  <si>
    <t>卢婷</t>
  </si>
  <si>
    <t>鄞嘉</t>
  </si>
  <si>
    <t>蒙柳君</t>
  </si>
  <si>
    <t>吴盛</t>
  </si>
  <si>
    <t>李大清</t>
  </si>
  <si>
    <t>吴锦亮</t>
  </si>
  <si>
    <t>杨达敏</t>
  </si>
  <si>
    <t>卢怡妙</t>
  </si>
  <si>
    <t>金扬清</t>
  </si>
  <si>
    <t>陈杰</t>
  </si>
  <si>
    <t>王诗雯</t>
  </si>
  <si>
    <t>黄伟</t>
  </si>
  <si>
    <t>吴永川</t>
  </si>
  <si>
    <t>张伟豪</t>
  </si>
  <si>
    <t>王康育</t>
  </si>
  <si>
    <t>李华川</t>
  </si>
  <si>
    <t>王晓</t>
  </si>
  <si>
    <t>唐娟</t>
  </si>
  <si>
    <t>纪金豆</t>
  </si>
  <si>
    <t>吉秋靓</t>
  </si>
  <si>
    <t>郭善兰</t>
  </si>
  <si>
    <t>苏雨禾</t>
  </si>
  <si>
    <t>蔡小芯</t>
  </si>
  <si>
    <t>劳琬淯</t>
  </si>
  <si>
    <t>王彩丹</t>
  </si>
  <si>
    <t>辛稀伟</t>
  </si>
  <si>
    <t>梁振彬</t>
  </si>
  <si>
    <t>郑钦文</t>
  </si>
  <si>
    <t>陈金敏</t>
  </si>
  <si>
    <t>林维演</t>
  </si>
  <si>
    <t>吴慧娜</t>
  </si>
  <si>
    <t>吴多敬</t>
  </si>
  <si>
    <t>薛月柳</t>
  </si>
  <si>
    <t>尹方晟</t>
  </si>
  <si>
    <t>王小金</t>
  </si>
  <si>
    <t>王小清</t>
  </si>
  <si>
    <t>陈潇菲</t>
  </si>
  <si>
    <t>吴晓梅</t>
  </si>
  <si>
    <t>杨宗富</t>
  </si>
  <si>
    <t>119</t>
  </si>
  <si>
    <t>中学音乐</t>
  </si>
  <si>
    <t>潘在娥</t>
  </si>
  <si>
    <t>刘佳音</t>
  </si>
  <si>
    <t xml:space="preserve"> 温昕</t>
  </si>
  <si>
    <t>谢星宇</t>
  </si>
  <si>
    <t>刘宇</t>
  </si>
  <si>
    <t>高婧</t>
  </si>
  <si>
    <t>赖海</t>
  </si>
  <si>
    <t>李涵禧</t>
  </si>
  <si>
    <t>王亚</t>
  </si>
  <si>
    <t>王宝儿</t>
  </si>
  <si>
    <t>吕璐璐</t>
  </si>
  <si>
    <t>陈枫</t>
  </si>
  <si>
    <t>王庆娟</t>
  </si>
  <si>
    <t>康斐涵</t>
  </si>
  <si>
    <t>黄志娟</t>
  </si>
  <si>
    <t>谢昌娥</t>
  </si>
  <si>
    <t>韩金博</t>
  </si>
  <si>
    <t>刘佳畅</t>
  </si>
  <si>
    <t>邓晓敏</t>
  </si>
  <si>
    <t>李远莉</t>
  </si>
  <si>
    <t>薛晓笛</t>
  </si>
  <si>
    <t>陈宝怡</t>
  </si>
  <si>
    <t>郑知</t>
  </si>
  <si>
    <t>李怡</t>
  </si>
  <si>
    <t>张文昊</t>
  </si>
  <si>
    <t>李泰羽</t>
  </si>
  <si>
    <t>林敬翔</t>
  </si>
  <si>
    <t>王肇峰</t>
  </si>
  <si>
    <t>丁孝昆</t>
  </si>
  <si>
    <t>方姿懿</t>
  </si>
  <si>
    <t>李莉泰</t>
  </si>
  <si>
    <t>石丽娜</t>
  </si>
  <si>
    <t>林钰姿</t>
  </si>
  <si>
    <t>叶诗萍</t>
  </si>
  <si>
    <t>万绪晶</t>
  </si>
  <si>
    <t>王瑾瑜</t>
  </si>
  <si>
    <t>刘美茜</t>
  </si>
  <si>
    <t>刘晓东</t>
  </si>
  <si>
    <t>林芳慧</t>
  </si>
  <si>
    <t>杨纯碧</t>
  </si>
  <si>
    <t>蒋文琦</t>
  </si>
  <si>
    <t>胡俊舒</t>
  </si>
  <si>
    <t>王露曼</t>
  </si>
  <si>
    <t>李佳阳</t>
  </si>
  <si>
    <t>刘求成</t>
  </si>
  <si>
    <t>郭诗怡</t>
  </si>
  <si>
    <t>李芷萱</t>
  </si>
  <si>
    <t>林慧婷</t>
  </si>
  <si>
    <t>郑静妮</t>
  </si>
  <si>
    <t>洪祺晴</t>
  </si>
  <si>
    <t>罗晶</t>
  </si>
  <si>
    <t>符晓蝶</t>
  </si>
  <si>
    <t>陈恺泺</t>
  </si>
  <si>
    <t>李昊斓</t>
  </si>
  <si>
    <t>何紫丽</t>
  </si>
  <si>
    <t>张晓如</t>
  </si>
  <si>
    <t>刘滨涵</t>
  </si>
  <si>
    <t>吴云舒</t>
  </si>
  <si>
    <t>高春娇</t>
  </si>
  <si>
    <t>120</t>
  </si>
  <si>
    <t>中学英语</t>
  </si>
  <si>
    <t>李莉</t>
  </si>
  <si>
    <t>孙璐</t>
  </si>
  <si>
    <t>余梦凡</t>
  </si>
  <si>
    <t>曾国君</t>
  </si>
  <si>
    <t>蔡钧婴</t>
  </si>
  <si>
    <t>许燕娜</t>
  </si>
  <si>
    <t>李唐</t>
  </si>
  <si>
    <t>周戈玉</t>
  </si>
  <si>
    <t>吴兴晶</t>
  </si>
  <si>
    <t>朱路长</t>
  </si>
  <si>
    <t>许春雨</t>
  </si>
  <si>
    <t>谢春燕</t>
  </si>
  <si>
    <t>陈姝羽</t>
  </si>
  <si>
    <t>林雯雯</t>
  </si>
  <si>
    <t>林宏晓</t>
  </si>
  <si>
    <t>唐慧玲</t>
  </si>
  <si>
    <t>吴小怡</t>
  </si>
  <si>
    <t>姜颖</t>
  </si>
  <si>
    <t>雷雅迪</t>
  </si>
  <si>
    <t>金雨轩</t>
  </si>
  <si>
    <t>王妙凝</t>
  </si>
  <si>
    <t>孙小恋</t>
  </si>
  <si>
    <t>李芳</t>
  </si>
  <si>
    <t>薛阳阳</t>
  </si>
  <si>
    <t>孙雪鹏</t>
  </si>
  <si>
    <t>李桐</t>
  </si>
  <si>
    <t>蔡萌</t>
  </si>
  <si>
    <t>彭静文</t>
  </si>
  <si>
    <t>高文芳</t>
  </si>
  <si>
    <t>刘婕</t>
  </si>
  <si>
    <t>卢思盈</t>
  </si>
  <si>
    <t>林苗苗</t>
  </si>
  <si>
    <t>汤博芬</t>
  </si>
  <si>
    <t>吴井爱</t>
  </si>
  <si>
    <t>黄振</t>
  </si>
  <si>
    <t>客文慧</t>
  </si>
  <si>
    <t>贺莉莹</t>
  </si>
  <si>
    <t>唐爱妃</t>
  </si>
  <si>
    <t>钟静珍</t>
  </si>
  <si>
    <t>林芳如</t>
  </si>
  <si>
    <t>林海恋</t>
  </si>
  <si>
    <t>黄玉环</t>
  </si>
  <si>
    <t>程帆</t>
  </si>
  <si>
    <t>王科</t>
  </si>
  <si>
    <t>唐洁华</t>
  </si>
  <si>
    <t>苏小琦</t>
  </si>
  <si>
    <t>余畅顺</t>
  </si>
  <si>
    <t>谭琼洋</t>
  </si>
  <si>
    <t>李依艳</t>
  </si>
  <si>
    <t>符才妮</t>
  </si>
  <si>
    <t>冯心茹</t>
  </si>
  <si>
    <t>石峰</t>
  </si>
  <si>
    <t>冯向玲</t>
  </si>
  <si>
    <t>吴春榕</t>
  </si>
  <si>
    <t>唐洁清</t>
  </si>
  <si>
    <t>卢秋玉</t>
  </si>
  <si>
    <t>袁琳</t>
  </si>
  <si>
    <t>王春妮</t>
  </si>
  <si>
    <t>黄美琪</t>
  </si>
  <si>
    <t>岳春琦</t>
  </si>
  <si>
    <t>李心怡</t>
  </si>
  <si>
    <t>余欣</t>
  </si>
  <si>
    <t>高宇巍</t>
  </si>
  <si>
    <t>蔡梦欣</t>
  </si>
  <si>
    <t>覃媛媛</t>
  </si>
  <si>
    <t>黎佩</t>
  </si>
  <si>
    <t>符丽雯</t>
  </si>
  <si>
    <t>陈乙红</t>
  </si>
  <si>
    <t>李家欣</t>
  </si>
  <si>
    <t>苏诗诗</t>
  </si>
  <si>
    <t>冯宝婧</t>
  </si>
  <si>
    <t>刘芳燕</t>
  </si>
  <si>
    <t>李梅兰</t>
  </si>
  <si>
    <t>徐楚绚</t>
  </si>
  <si>
    <t>陈虹君</t>
  </si>
  <si>
    <t>施宇晴</t>
  </si>
  <si>
    <t>吴蕾</t>
  </si>
  <si>
    <t>谢容鹏</t>
  </si>
  <si>
    <t>严景洲</t>
  </si>
  <si>
    <t>郑玲</t>
  </si>
  <si>
    <t>陈欢</t>
  </si>
  <si>
    <t>莫苏再</t>
  </si>
  <si>
    <t>陈红丽</t>
  </si>
  <si>
    <t>王艺瑶</t>
  </si>
  <si>
    <t>傅雅特</t>
  </si>
  <si>
    <t>周宁</t>
  </si>
  <si>
    <t>谢继梅</t>
  </si>
  <si>
    <t>卓小妹</t>
  </si>
  <si>
    <t>黎晓晴</t>
  </si>
  <si>
    <t>杨泉泉</t>
  </si>
  <si>
    <t>庞炜骅</t>
  </si>
  <si>
    <t>王李艳</t>
  </si>
  <si>
    <t>林宝芸</t>
  </si>
  <si>
    <t>王月</t>
  </si>
  <si>
    <t>岑咏春</t>
  </si>
  <si>
    <t>刘怡林</t>
  </si>
  <si>
    <t>胡仁馨</t>
  </si>
  <si>
    <t>莫少雨</t>
  </si>
  <si>
    <t>羊金桃</t>
  </si>
  <si>
    <t>张 茹彬</t>
  </si>
  <si>
    <t>郑珂</t>
  </si>
  <si>
    <t>秦捷</t>
  </si>
  <si>
    <t>钟辰琦</t>
  </si>
  <si>
    <t>吴晨溦</t>
  </si>
  <si>
    <t>邢晖</t>
  </si>
  <si>
    <t>谭秋盈</t>
  </si>
  <si>
    <t>林娜妃</t>
  </si>
  <si>
    <t>张杨莹</t>
  </si>
  <si>
    <t>黄雅</t>
  </si>
  <si>
    <t>李丹丹</t>
  </si>
  <si>
    <t>许欢欢</t>
  </si>
  <si>
    <t>符雪丹</t>
  </si>
  <si>
    <t>吴群</t>
  </si>
  <si>
    <t>吴佳敏</t>
  </si>
  <si>
    <t>文苹妃</t>
  </si>
  <si>
    <t>周新鸽</t>
  </si>
  <si>
    <t>陈冬梅</t>
  </si>
  <si>
    <t>张舒晓</t>
  </si>
  <si>
    <t>何佳怡</t>
  </si>
  <si>
    <t>王槐红</t>
  </si>
  <si>
    <t>王小萍</t>
  </si>
  <si>
    <t>陈美</t>
  </si>
  <si>
    <t>洪秋南</t>
  </si>
  <si>
    <t>唐雪</t>
  </si>
  <si>
    <t>唐玲玲</t>
  </si>
  <si>
    <t>符莉英</t>
  </si>
  <si>
    <t>赵绵峰</t>
  </si>
  <si>
    <t>吴慧欣</t>
  </si>
  <si>
    <t>杨蕊</t>
  </si>
  <si>
    <t>李世辰</t>
  </si>
  <si>
    <t>刘怿琳</t>
  </si>
  <si>
    <t>刘凯鑫</t>
  </si>
  <si>
    <t>贺云凤</t>
  </si>
  <si>
    <t>谢家怡</t>
  </si>
  <si>
    <t>韩诗愉</t>
  </si>
  <si>
    <t>吴文秀</t>
  </si>
  <si>
    <t>韩丛璟</t>
  </si>
  <si>
    <t>孙昌婷</t>
  </si>
  <si>
    <t>韩云生</t>
  </si>
  <si>
    <t>石慧美</t>
  </si>
  <si>
    <t>张裕</t>
  </si>
  <si>
    <t>陈王宁</t>
  </si>
  <si>
    <t>高歌</t>
  </si>
  <si>
    <t>廖春梅</t>
  </si>
  <si>
    <t>林少玲</t>
  </si>
  <si>
    <t>吴雯晶</t>
  </si>
  <si>
    <t>冯桃</t>
  </si>
  <si>
    <t>羊夏川</t>
  </si>
  <si>
    <t>赵国妹</t>
  </si>
  <si>
    <t>黄晓静</t>
  </si>
  <si>
    <t>李玉弘</t>
  </si>
  <si>
    <t>刘金银</t>
  </si>
  <si>
    <t>何春女</t>
  </si>
  <si>
    <t>麦璇</t>
  </si>
  <si>
    <t>施美倩</t>
  </si>
  <si>
    <t>雷晓蕾</t>
  </si>
  <si>
    <t>王莉漫</t>
  </si>
  <si>
    <t>何舟山</t>
  </si>
  <si>
    <t>陈咪咪</t>
  </si>
  <si>
    <t>张艺璇</t>
  </si>
  <si>
    <t>叶紫萱</t>
  </si>
  <si>
    <t>张家敏</t>
  </si>
  <si>
    <t>程祎</t>
  </si>
  <si>
    <t>刘婉欣</t>
  </si>
  <si>
    <t>王静</t>
  </si>
  <si>
    <t>刘美</t>
  </si>
  <si>
    <t>黄树文</t>
  </si>
  <si>
    <t>许慧婷</t>
  </si>
  <si>
    <t>罗琪</t>
  </si>
  <si>
    <t>陶阳阳</t>
  </si>
  <si>
    <t>文欣</t>
  </si>
  <si>
    <t>肖甯月</t>
  </si>
  <si>
    <t>陈秀珍</t>
  </si>
  <si>
    <t>何文君</t>
  </si>
  <si>
    <t>张彩兰</t>
  </si>
  <si>
    <t>吴谢苗</t>
  </si>
  <si>
    <t>容泽莹</t>
  </si>
  <si>
    <t>陆倩莹</t>
  </si>
  <si>
    <t>林超</t>
  </si>
  <si>
    <t>许春香</t>
  </si>
  <si>
    <t>彭安祺</t>
  </si>
  <si>
    <t>王瑛娴</t>
  </si>
  <si>
    <t>何有仪</t>
  </si>
  <si>
    <t>梁咏雅</t>
  </si>
  <si>
    <t>麦金果</t>
  </si>
  <si>
    <t>张晋铭</t>
  </si>
  <si>
    <t>蔡晓仪</t>
  </si>
  <si>
    <t>胡红丽</t>
  </si>
  <si>
    <t>郑雅琪</t>
  </si>
  <si>
    <t>范世娇</t>
  </si>
  <si>
    <t>曾瑾</t>
  </si>
  <si>
    <t>魏小青</t>
  </si>
  <si>
    <t>麦名雅</t>
  </si>
  <si>
    <t>杨秀婷</t>
  </si>
  <si>
    <t>王雅欣</t>
  </si>
  <si>
    <t>王秀琳</t>
  </si>
  <si>
    <t>羊春娲</t>
  </si>
  <si>
    <t>吴钟妩</t>
  </si>
  <si>
    <t>邓培蕊</t>
  </si>
  <si>
    <t>孙娴</t>
  </si>
  <si>
    <t>宋佳骥</t>
  </si>
  <si>
    <t>冼美霞</t>
  </si>
  <si>
    <t>郭伟妃</t>
  </si>
  <si>
    <t>文诗彤</t>
  </si>
  <si>
    <t>张溦</t>
  </si>
  <si>
    <t>李中唐</t>
  </si>
  <si>
    <t>云心玥</t>
  </si>
  <si>
    <t>李雨谖</t>
  </si>
  <si>
    <t>吴挺花</t>
  </si>
  <si>
    <t>翁颖颖</t>
  </si>
  <si>
    <t>林瑞明</t>
  </si>
  <si>
    <t>周文婷</t>
  </si>
  <si>
    <t>王小莹</t>
  </si>
  <si>
    <t>卢传芬</t>
  </si>
  <si>
    <t>梁颖磊</t>
  </si>
  <si>
    <t>黄紫晴</t>
  </si>
  <si>
    <t>潘娜</t>
  </si>
  <si>
    <t>苏小曼</t>
  </si>
  <si>
    <t>贾圆圆</t>
  </si>
  <si>
    <t>李星星</t>
  </si>
  <si>
    <t xml:space="preserve">林红余 </t>
  </si>
  <si>
    <t>林雅</t>
  </si>
  <si>
    <t xml:space="preserve">周能 </t>
  </si>
  <si>
    <t>翟柳颖</t>
  </si>
  <si>
    <t>冯雅</t>
  </si>
  <si>
    <t>何彦</t>
  </si>
  <si>
    <t>许淑女</t>
  </si>
  <si>
    <t>韩婉婷</t>
  </si>
  <si>
    <t>杨咪</t>
  </si>
  <si>
    <t>李刘畅</t>
  </si>
  <si>
    <t>甘亦恬</t>
  </si>
  <si>
    <t>陈惠仪</t>
  </si>
  <si>
    <t>邵秋语</t>
  </si>
  <si>
    <t>韦绕选</t>
  </si>
  <si>
    <t>符莹红</t>
  </si>
  <si>
    <t>林欣</t>
  </si>
  <si>
    <t>聂靖霓</t>
  </si>
  <si>
    <t>侯慧慧</t>
  </si>
  <si>
    <t>纪新珍</t>
  </si>
  <si>
    <t>张琳</t>
  </si>
  <si>
    <t>王心萍</t>
  </si>
  <si>
    <t>杨小雪</t>
  </si>
  <si>
    <t>梁乃静</t>
  </si>
  <si>
    <t>郑莉虹</t>
  </si>
  <si>
    <t>戴依慧</t>
  </si>
  <si>
    <t>林渊红</t>
  </si>
  <si>
    <t>宋雨婷</t>
  </si>
  <si>
    <t>马章林</t>
  </si>
  <si>
    <t>符开秀</t>
  </si>
  <si>
    <t>张佳园</t>
  </si>
  <si>
    <t>王艳霞</t>
  </si>
  <si>
    <t>刘彦芝</t>
  </si>
  <si>
    <t>王海萱</t>
  </si>
  <si>
    <t>林晓贝</t>
  </si>
  <si>
    <t>吴小妹</t>
  </si>
  <si>
    <t>吴梦瑶</t>
  </si>
  <si>
    <t>何清</t>
  </si>
  <si>
    <t>华雨薇</t>
  </si>
  <si>
    <t>莫海玲</t>
  </si>
  <si>
    <t>邹莹莹</t>
  </si>
  <si>
    <t>杨一夫</t>
  </si>
  <si>
    <t>张方</t>
  </si>
  <si>
    <t>杨雅茜</t>
  </si>
  <si>
    <t>吴红梅</t>
  </si>
  <si>
    <t>符倩</t>
  </si>
  <si>
    <t>黄语薇</t>
  </si>
  <si>
    <t>许瑞颜</t>
  </si>
  <si>
    <t>林芳权</t>
  </si>
  <si>
    <t>雷安娜</t>
  </si>
  <si>
    <t>符靖羚</t>
  </si>
  <si>
    <t>钱博</t>
  </si>
  <si>
    <t>周嘉敏</t>
  </si>
  <si>
    <t>潘甫虹</t>
  </si>
  <si>
    <t>曾德敏</t>
  </si>
  <si>
    <t>冯韵洁</t>
  </si>
  <si>
    <t>马英</t>
  </si>
  <si>
    <t>覃小玲</t>
  </si>
  <si>
    <t>韦亦笑</t>
  </si>
  <si>
    <t>胡寒祺</t>
  </si>
  <si>
    <t>梁艺蕾</t>
  </si>
  <si>
    <t>孙铭苑</t>
  </si>
  <si>
    <t>韦美竹</t>
  </si>
  <si>
    <t>方慧敏</t>
  </si>
  <si>
    <t>雷超</t>
  </si>
  <si>
    <t>熊晓超</t>
  </si>
  <si>
    <t>洪钰</t>
  </si>
  <si>
    <t>李冬秀</t>
  </si>
  <si>
    <t>张雨欣</t>
  </si>
  <si>
    <t>云琪</t>
  </si>
  <si>
    <t>贺志荣</t>
  </si>
  <si>
    <t>刘杜淳</t>
  </si>
  <si>
    <t>尚祖伊</t>
  </si>
  <si>
    <t>121</t>
  </si>
  <si>
    <t>中学语文</t>
  </si>
  <si>
    <t>王雨华</t>
  </si>
  <si>
    <t>许月丽</t>
  </si>
  <si>
    <t>王秘</t>
  </si>
  <si>
    <t>郑桦</t>
  </si>
  <si>
    <t>邵柯嘉</t>
  </si>
  <si>
    <t>方奕玉</t>
  </si>
  <si>
    <t>苏小紫</t>
  </si>
  <si>
    <t>黄小静</t>
  </si>
  <si>
    <t>吴冬琴</t>
  </si>
  <si>
    <t>何文文</t>
  </si>
  <si>
    <t>何嘉嘉</t>
  </si>
  <si>
    <t>林妍</t>
  </si>
  <si>
    <t>蓝平</t>
  </si>
  <si>
    <t>黄静</t>
  </si>
  <si>
    <t>吴丽格</t>
  </si>
  <si>
    <t>高青青</t>
  </si>
  <si>
    <t>陈金梅</t>
  </si>
  <si>
    <t>李杏</t>
  </si>
  <si>
    <t>陈民丽</t>
  </si>
  <si>
    <t>杨梦娇</t>
  </si>
  <si>
    <t>陈丹文</t>
  </si>
  <si>
    <t>杨欣燏</t>
  </si>
  <si>
    <t>许欣</t>
  </si>
  <si>
    <t>沈韵佳</t>
  </si>
  <si>
    <t>薛琼</t>
  </si>
  <si>
    <t>黄喜</t>
  </si>
  <si>
    <t>卞美汇</t>
  </si>
  <si>
    <t>陈啟燕</t>
  </si>
  <si>
    <t>王仪</t>
  </si>
  <si>
    <t>林芳叶</t>
  </si>
  <si>
    <t>甘琪琪</t>
  </si>
  <si>
    <t>符永杰</t>
  </si>
  <si>
    <t>柯彦萍</t>
  </si>
  <si>
    <t>刘振丹</t>
  </si>
  <si>
    <t>李艳君</t>
  </si>
  <si>
    <t>蒙钟怡</t>
  </si>
  <si>
    <t>陈园园</t>
  </si>
  <si>
    <t>李会</t>
  </si>
  <si>
    <t>符小丽</t>
  </si>
  <si>
    <t>高莹</t>
  </si>
  <si>
    <t>符乃元</t>
  </si>
  <si>
    <t>符煜晨</t>
  </si>
  <si>
    <t>黄铃倖</t>
  </si>
  <si>
    <t>洪振淳</t>
  </si>
  <si>
    <t>倪德莹</t>
  </si>
  <si>
    <t>王如妹</t>
  </si>
  <si>
    <t>唐海文</t>
  </si>
  <si>
    <t>赵井美</t>
  </si>
  <si>
    <t>严姝婷</t>
  </si>
  <si>
    <t>戴衡媛</t>
  </si>
  <si>
    <t>曾庆菊</t>
  </si>
  <si>
    <t>张梦华</t>
  </si>
  <si>
    <t>王彦芝</t>
  </si>
  <si>
    <t>王韦月</t>
  </si>
  <si>
    <t>李珊珊</t>
  </si>
  <si>
    <t>杨小菲</t>
  </si>
  <si>
    <t>郑永妮</t>
  </si>
  <si>
    <t>吴邦琳</t>
  </si>
  <si>
    <t>李盈颖</t>
  </si>
  <si>
    <t>韦祥宋</t>
  </si>
  <si>
    <t>何佳欣</t>
  </si>
  <si>
    <t>梅文雪</t>
  </si>
  <si>
    <t>覃小视</t>
  </si>
  <si>
    <t>郭紫盈</t>
  </si>
  <si>
    <t>吴佳梦</t>
  </si>
  <si>
    <t>张雯</t>
  </si>
  <si>
    <t>陈锦琦</t>
  </si>
  <si>
    <t>梁华南</t>
  </si>
  <si>
    <t>周振誉</t>
  </si>
  <si>
    <t>李品</t>
  </si>
  <si>
    <t>黄金燕</t>
  </si>
  <si>
    <t>刘欣华</t>
  </si>
  <si>
    <t>黄香坛</t>
  </si>
  <si>
    <t>王田田</t>
  </si>
  <si>
    <t>陈嫦初</t>
  </si>
  <si>
    <t>彭舒凤</t>
  </si>
  <si>
    <t>夏李慧</t>
  </si>
  <si>
    <t>潘圣艳</t>
  </si>
  <si>
    <t>梁晓霞</t>
  </si>
  <si>
    <t>韩怡妃</t>
  </si>
  <si>
    <t>余海宁</t>
  </si>
  <si>
    <t>符文荟</t>
  </si>
  <si>
    <t>陈焕阳</t>
  </si>
  <si>
    <t>李莎</t>
  </si>
  <si>
    <t>王亚明</t>
  </si>
  <si>
    <t>唐娥飞</t>
  </si>
  <si>
    <t>苏秋梅</t>
  </si>
  <si>
    <t>王红钰</t>
  </si>
  <si>
    <t>郑春颜</t>
  </si>
  <si>
    <t>王一晨</t>
  </si>
  <si>
    <t>冯月芳</t>
  </si>
  <si>
    <t>黄祥姑</t>
  </si>
  <si>
    <t>陈红晓</t>
  </si>
  <si>
    <t>林梦雨</t>
  </si>
  <si>
    <t>陈玉娇</t>
  </si>
  <si>
    <t>唐楠楠</t>
  </si>
  <si>
    <t>冯华</t>
  </si>
  <si>
    <t>吴阳</t>
  </si>
  <si>
    <t>周川琪</t>
  </si>
  <si>
    <t>冯慧</t>
  </si>
  <si>
    <t>刘张忠</t>
  </si>
  <si>
    <t>王紫薇</t>
  </si>
  <si>
    <t>范珊珊</t>
  </si>
  <si>
    <t xml:space="preserve">范璐 </t>
  </si>
  <si>
    <t>何欣欣</t>
  </si>
  <si>
    <t>翁劭轩</t>
  </si>
  <si>
    <t>杨菲</t>
  </si>
  <si>
    <t>麦婕</t>
  </si>
  <si>
    <t>钱晚晴</t>
  </si>
  <si>
    <t>王欣仪</t>
  </si>
  <si>
    <t>邓庆波</t>
  </si>
  <si>
    <t>崔雯</t>
  </si>
  <si>
    <t>高崧</t>
  </si>
  <si>
    <t>陈英兰</t>
  </si>
  <si>
    <t>路彦</t>
  </si>
  <si>
    <t>汪勤</t>
  </si>
  <si>
    <t>李柳悦</t>
  </si>
  <si>
    <t>王紫叶</t>
  </si>
  <si>
    <t>吴淑珍</t>
  </si>
  <si>
    <t>梁杨</t>
  </si>
  <si>
    <t>符武婷</t>
  </si>
  <si>
    <t>古龙娇</t>
  </si>
  <si>
    <t>李竹波</t>
  </si>
  <si>
    <t>王秋玲</t>
  </si>
  <si>
    <t>杨素贞</t>
  </si>
  <si>
    <t>温莉</t>
  </si>
  <si>
    <t>潘芳微</t>
  </si>
  <si>
    <t>符艺羚</t>
  </si>
  <si>
    <t>邹芷寒</t>
  </si>
  <si>
    <t>温慧仪</t>
  </si>
  <si>
    <t>邢雅钤</t>
  </si>
  <si>
    <t>冼丽彬</t>
  </si>
  <si>
    <t>符莎莎</t>
  </si>
  <si>
    <t>熊玥</t>
  </si>
  <si>
    <t>郭兰辉</t>
  </si>
  <si>
    <t>付饶</t>
  </si>
  <si>
    <t>吴贤贝</t>
  </si>
  <si>
    <t>文思雨</t>
  </si>
  <si>
    <t>叶可飘</t>
  </si>
  <si>
    <t>林巧青</t>
  </si>
  <si>
    <t>林翘君</t>
  </si>
  <si>
    <t>莫溶溶</t>
  </si>
  <si>
    <t>马晓庆</t>
  </si>
  <si>
    <t>王泓然</t>
  </si>
  <si>
    <t>黄欢</t>
  </si>
  <si>
    <t>吉世雕</t>
  </si>
  <si>
    <t>陈焕南</t>
  </si>
  <si>
    <t>刘晓英</t>
  </si>
  <si>
    <t>陈镜名</t>
  </si>
  <si>
    <t>文肖</t>
  </si>
  <si>
    <t>曾淑娇</t>
  </si>
  <si>
    <t>徐蕊蕊</t>
  </si>
  <si>
    <t>王小娜</t>
  </si>
  <si>
    <t>简仙蕾</t>
  </si>
  <si>
    <t>吴虹臻</t>
  </si>
  <si>
    <t>李梦怡</t>
  </si>
  <si>
    <t>袁天韵</t>
  </si>
  <si>
    <t>高琪</t>
  </si>
  <si>
    <t>林新莹</t>
  </si>
  <si>
    <t>刘依暄</t>
  </si>
  <si>
    <t>刘舒蕾</t>
  </si>
  <si>
    <t>王玉香</t>
  </si>
  <si>
    <t>涂橙</t>
  </si>
  <si>
    <t>何青蔚</t>
  </si>
  <si>
    <t>谭金月</t>
  </si>
  <si>
    <t>陈显艳</t>
  </si>
  <si>
    <t>林佩佩</t>
  </si>
  <si>
    <t>李小晶</t>
  </si>
  <si>
    <t>林芳</t>
  </si>
  <si>
    <t>李乐轩</t>
  </si>
  <si>
    <t>王柳琴</t>
  </si>
  <si>
    <t>曾晓蕾</t>
  </si>
  <si>
    <t>陈雅欣</t>
  </si>
  <si>
    <t>羊娇娇</t>
  </si>
  <si>
    <t>梁乾英</t>
  </si>
  <si>
    <t>张君苑</t>
  </si>
  <si>
    <t>陈丹红</t>
  </si>
  <si>
    <t>王海</t>
  </si>
  <si>
    <t>李采秋</t>
  </si>
  <si>
    <t>陈晓莹</t>
  </si>
  <si>
    <t>符一凡</t>
  </si>
  <si>
    <t>李顺凡</t>
  </si>
  <si>
    <t>邓金晶</t>
  </si>
  <si>
    <t>吴安妮</t>
  </si>
  <si>
    <t>邢漤情</t>
  </si>
  <si>
    <t>何声霞</t>
  </si>
  <si>
    <t>梁亚英</t>
  </si>
  <si>
    <t>陈诚郁</t>
  </si>
  <si>
    <t>赵永霞</t>
  </si>
  <si>
    <t>康珂</t>
  </si>
  <si>
    <t>焦婷婷</t>
  </si>
  <si>
    <t>黎芸</t>
  </si>
  <si>
    <t>符婕月</t>
  </si>
  <si>
    <t>庄唯</t>
  </si>
  <si>
    <t>蔡赤媚</t>
  </si>
  <si>
    <t>曾垂蓉</t>
  </si>
  <si>
    <t>周晓红</t>
  </si>
  <si>
    <t>曾志佳</t>
  </si>
  <si>
    <t>孙显敏</t>
  </si>
  <si>
    <t>张艺</t>
  </si>
  <si>
    <t>梁韵聆</t>
  </si>
  <si>
    <t>张航静</t>
  </si>
  <si>
    <t>莫庄文</t>
  </si>
  <si>
    <t>杨嫣盈</t>
  </si>
  <si>
    <t>林寿武</t>
  </si>
  <si>
    <t>邢佳佳</t>
  </si>
  <si>
    <t>许榕峨</t>
  </si>
  <si>
    <t>羊丽月</t>
  </si>
  <si>
    <t>欧慧芳</t>
  </si>
  <si>
    <t>严秀东</t>
  </si>
  <si>
    <t>陈太完</t>
  </si>
  <si>
    <t>黄余童</t>
  </si>
  <si>
    <t>梁娜</t>
  </si>
  <si>
    <t>陈丽平</t>
  </si>
  <si>
    <t>王滢帆</t>
  </si>
  <si>
    <t>周昱杉</t>
  </si>
  <si>
    <t>林超忆</t>
  </si>
  <si>
    <t>洪小冰</t>
  </si>
  <si>
    <t>王小颜</t>
  </si>
  <si>
    <t>邢恋</t>
  </si>
  <si>
    <t>李琼妃</t>
  </si>
  <si>
    <t>陈娟</t>
  </si>
  <si>
    <t>林亚帆</t>
  </si>
  <si>
    <t>莫菲</t>
  </si>
  <si>
    <t>陈雨铭</t>
  </si>
  <si>
    <t>莫海媛</t>
  </si>
  <si>
    <t>胡丹</t>
  </si>
  <si>
    <t>张翎</t>
  </si>
  <si>
    <t>朱逸杰</t>
  </si>
  <si>
    <t>杨莹</t>
  </si>
  <si>
    <t>陈菊</t>
  </si>
  <si>
    <t>卢家莹</t>
  </si>
  <si>
    <t>吴晓虹</t>
  </si>
  <si>
    <t>童浇荟</t>
  </si>
  <si>
    <t>王小露</t>
  </si>
  <si>
    <t>王侨源</t>
  </si>
  <si>
    <t>杨新宁</t>
  </si>
  <si>
    <t>蔡海波</t>
  </si>
  <si>
    <t>122</t>
  </si>
  <si>
    <t>中学政治</t>
  </si>
  <si>
    <t>卢春玲</t>
  </si>
  <si>
    <t>郭玲</t>
  </si>
  <si>
    <t>郑立文</t>
  </si>
  <si>
    <t>隋佳宁</t>
  </si>
  <si>
    <t>邵东</t>
  </si>
  <si>
    <t>姚鑫玥</t>
  </si>
  <si>
    <t>杨梅燕</t>
  </si>
  <si>
    <t>程田田</t>
  </si>
  <si>
    <t>谢娴</t>
  </si>
  <si>
    <t>王鼎君</t>
  </si>
  <si>
    <t>羊月燕</t>
  </si>
  <si>
    <t>邱小燕</t>
  </si>
  <si>
    <t>吴华玉</t>
  </si>
  <si>
    <t>岑芩</t>
  </si>
  <si>
    <t>符月秀</t>
  </si>
  <si>
    <t>黄小晴</t>
  </si>
  <si>
    <t>岑思佳</t>
  </si>
  <si>
    <t>麦月莹</t>
  </si>
  <si>
    <t>何玲娜</t>
  </si>
  <si>
    <t>黎芮如</t>
  </si>
  <si>
    <t>麦子倩</t>
  </si>
  <si>
    <t>洪雪瑜</t>
  </si>
  <si>
    <t>黄海州</t>
  </si>
  <si>
    <t>邓少欣</t>
  </si>
  <si>
    <t>王俊</t>
  </si>
  <si>
    <t>羊冠凤</t>
  </si>
  <si>
    <t>赵衍珥</t>
  </si>
  <si>
    <t>王玉云</t>
  </si>
  <si>
    <t>赵兴坤</t>
  </si>
  <si>
    <t>苏晟</t>
  </si>
  <si>
    <t>李荔潘</t>
  </si>
  <si>
    <t>刘如苗</t>
  </si>
  <si>
    <t>邢晓晖</t>
  </si>
  <si>
    <t>黄晓荟</t>
  </si>
  <si>
    <t>陈杨丽</t>
  </si>
  <si>
    <t>陈多翠</t>
  </si>
  <si>
    <t>郑雅文</t>
  </si>
  <si>
    <t>王文婷</t>
  </si>
  <si>
    <t>符莎易</t>
  </si>
  <si>
    <t>林萍丽</t>
  </si>
  <si>
    <t>符王平</t>
  </si>
  <si>
    <t>王小雁</t>
  </si>
  <si>
    <t>王颖欣</t>
  </si>
  <si>
    <t>邹佳睿</t>
  </si>
  <si>
    <t>李苗</t>
  </si>
  <si>
    <t>卢玉慧</t>
  </si>
  <si>
    <t>洪暖</t>
  </si>
  <si>
    <t>王家昌</t>
  </si>
  <si>
    <t>陈荟妃</t>
  </si>
  <si>
    <t>冯春霞</t>
  </si>
  <si>
    <t>黎坚彩</t>
  </si>
  <si>
    <t>吴多林</t>
  </si>
  <si>
    <t>郑文丽</t>
  </si>
  <si>
    <t>彭菊丽</t>
  </si>
  <si>
    <t>吴多芳</t>
  </si>
  <si>
    <t>白萌娜</t>
  </si>
  <si>
    <t>曹婷婷</t>
  </si>
  <si>
    <t>王发辉</t>
  </si>
  <si>
    <t>苏巧宁</t>
  </si>
  <si>
    <t>范颖</t>
  </si>
  <si>
    <t>陈壮丹</t>
  </si>
  <si>
    <t>吴慧丽</t>
  </si>
  <si>
    <t>易昆</t>
  </si>
  <si>
    <t>曾彦</t>
  </si>
  <si>
    <t>符方冰</t>
  </si>
  <si>
    <t>谢永丽</t>
  </si>
  <si>
    <t>欧修月</t>
  </si>
  <si>
    <t>文法权</t>
  </si>
  <si>
    <t>羊春源</t>
  </si>
  <si>
    <t>吴培赫</t>
  </si>
  <si>
    <t>123</t>
  </si>
  <si>
    <t>小学数学2</t>
  </si>
  <si>
    <t>许佩汝</t>
  </si>
  <si>
    <t>刘小清</t>
  </si>
  <si>
    <t>赖美圆</t>
  </si>
  <si>
    <t>卜启敏</t>
  </si>
  <si>
    <t>文燕青</t>
  </si>
  <si>
    <t>夏春妃</t>
  </si>
  <si>
    <t>徐淑慧</t>
  </si>
  <si>
    <t>王一云</t>
  </si>
  <si>
    <t>黄晓彤</t>
  </si>
  <si>
    <t>吴源洁</t>
  </si>
  <si>
    <t>傅海星</t>
  </si>
  <si>
    <t>麦云慧</t>
  </si>
  <si>
    <t>冯彩莲</t>
  </si>
  <si>
    <t>吴小利</t>
  </si>
  <si>
    <t>廖远浪</t>
  </si>
  <si>
    <t>潘付桑</t>
  </si>
  <si>
    <t>王康春</t>
  </si>
  <si>
    <t>庞云引</t>
  </si>
  <si>
    <t>羊丽妃</t>
  </si>
  <si>
    <t>文彩艳</t>
  </si>
  <si>
    <t>许岸</t>
  </si>
  <si>
    <t>吴阿明</t>
  </si>
  <si>
    <t>邝丽豪</t>
  </si>
  <si>
    <t>黄小雨</t>
  </si>
  <si>
    <t>黄小芳</t>
  </si>
  <si>
    <t>麦苗</t>
  </si>
  <si>
    <t>吴海文</t>
  </si>
  <si>
    <t>曾子娟</t>
  </si>
  <si>
    <t>谢南玲</t>
  </si>
  <si>
    <t>李爱明</t>
  </si>
  <si>
    <t>124</t>
  </si>
  <si>
    <t>小学语文2</t>
  </si>
  <si>
    <t>严小莉</t>
  </si>
  <si>
    <t>王春梅</t>
  </si>
  <si>
    <t>陈春芳</t>
  </si>
  <si>
    <t>苏珊</t>
  </si>
  <si>
    <t>陈君君</t>
  </si>
  <si>
    <t>李运玲</t>
  </si>
  <si>
    <t>陈东琳</t>
  </si>
  <si>
    <t>黎菊女</t>
  </si>
  <si>
    <t>蔡兰</t>
  </si>
  <si>
    <t>王亚南</t>
  </si>
  <si>
    <t>郑丽灵</t>
  </si>
  <si>
    <t>郑燕桂</t>
  </si>
  <si>
    <t>苏香苑</t>
  </si>
  <si>
    <t>卢小雪</t>
  </si>
  <si>
    <t>王飞燕</t>
  </si>
  <si>
    <t>刘秋燕</t>
  </si>
  <si>
    <t>吴芳娃</t>
  </si>
  <si>
    <t>郑萍</t>
  </si>
  <si>
    <t>李秀花</t>
  </si>
  <si>
    <t>陈银美</t>
  </si>
  <si>
    <t>李秋妹</t>
  </si>
  <si>
    <t>杜云婷</t>
  </si>
  <si>
    <t>曾雪敏</t>
  </si>
  <si>
    <t>许艳艳</t>
  </si>
  <si>
    <t>庞惠茵</t>
  </si>
  <si>
    <t>林尹一</t>
  </si>
  <si>
    <t>陈晓瑶</t>
  </si>
  <si>
    <t>林艳</t>
  </si>
  <si>
    <t>王康丽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</si>
</sst>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5" borderId="8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460"/>
  <sheetViews>
    <sheetView tabSelected="1" zoomScale="80" zoomScaleNormal="80" workbookViewId="0">
      <pane ySplit="3" topLeftCell="A9440" activePane="bottomLeft" state="frozen"/>
      <selection/>
      <selection pane="bottomLeft" activeCell="E9446" sqref="E9446"/>
    </sheetView>
  </sheetViews>
  <sheetFormatPr defaultColWidth="9" defaultRowHeight="13.5" outlineLevelCol="5"/>
  <cols>
    <col min="1" max="1" width="14.4416666666667" style="4" customWidth="1"/>
    <col min="2" max="2" width="26.375" style="4" customWidth="1"/>
    <col min="3" max="4" width="21.625" style="4" customWidth="1"/>
    <col min="5" max="5" width="41.1083333333333" style="4" customWidth="1"/>
    <col min="6" max="6" width="24.1083333333333" customWidth="1"/>
  </cols>
  <sheetData>
    <row r="1" ht="19" customHeight="1" spans="1:1">
      <c r="A1" s="5" t="s">
        <v>0</v>
      </c>
    </row>
    <row r="2" ht="60" customHeight="1" spans="1:6">
      <c r="A2" s="6" t="s">
        <v>1</v>
      </c>
      <c r="B2" s="7"/>
      <c r="C2" s="7"/>
      <c r="D2" s="7"/>
      <c r="E2" s="7"/>
      <c r="F2" s="7"/>
    </row>
    <row r="3" s="1" customFormat="1" ht="30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2" customFormat="1" ht="30" customHeight="1" spans="1:6">
      <c r="A4" s="9">
        <v>1</v>
      </c>
      <c r="B4" s="10" t="s">
        <v>8</v>
      </c>
      <c r="C4" s="10" t="s">
        <v>9</v>
      </c>
      <c r="D4" s="10" t="s">
        <v>10</v>
      </c>
      <c r="E4" s="10" t="str">
        <f>"644020240512101004168446"</f>
        <v>644020240512101004168446</v>
      </c>
      <c r="F4" s="9"/>
    </row>
    <row r="5" s="2" customFormat="1" ht="30" customHeight="1" spans="1:6">
      <c r="A5" s="9">
        <v>2</v>
      </c>
      <c r="B5" s="10" t="s">
        <v>8</v>
      </c>
      <c r="C5" s="10" t="s">
        <v>9</v>
      </c>
      <c r="D5" s="10" t="s">
        <v>11</v>
      </c>
      <c r="E5" s="10" t="str">
        <f>"644020240512101200168457"</f>
        <v>644020240512101200168457</v>
      </c>
      <c r="F5" s="9"/>
    </row>
    <row r="6" s="2" customFormat="1" ht="30" customHeight="1" spans="1:6">
      <c r="A6" s="9">
        <v>3</v>
      </c>
      <c r="B6" s="10" t="s">
        <v>8</v>
      </c>
      <c r="C6" s="10" t="s">
        <v>9</v>
      </c>
      <c r="D6" s="10" t="s">
        <v>12</v>
      </c>
      <c r="E6" s="10" t="str">
        <f>"644020240512105640168703"</f>
        <v>644020240512105640168703</v>
      </c>
      <c r="F6" s="9"/>
    </row>
    <row r="7" s="2" customFormat="1" ht="30" customHeight="1" spans="1:6">
      <c r="A7" s="9">
        <v>4</v>
      </c>
      <c r="B7" s="10" t="s">
        <v>8</v>
      </c>
      <c r="C7" s="10" t="s">
        <v>9</v>
      </c>
      <c r="D7" s="10" t="s">
        <v>13</v>
      </c>
      <c r="E7" s="10" t="str">
        <f>"644020240512111630168806"</f>
        <v>644020240512111630168806</v>
      </c>
      <c r="F7" s="9"/>
    </row>
    <row r="8" s="2" customFormat="1" ht="30" customHeight="1" spans="1:6">
      <c r="A8" s="9">
        <v>5</v>
      </c>
      <c r="B8" s="10" t="s">
        <v>8</v>
      </c>
      <c r="C8" s="10" t="s">
        <v>9</v>
      </c>
      <c r="D8" s="10" t="s">
        <v>14</v>
      </c>
      <c r="E8" s="10" t="str">
        <f>"644020240512091059168148"</f>
        <v>644020240512091059168148</v>
      </c>
      <c r="F8" s="9"/>
    </row>
    <row r="9" s="2" customFormat="1" ht="30" customHeight="1" spans="1:6">
      <c r="A9" s="9">
        <v>6</v>
      </c>
      <c r="B9" s="10" t="s">
        <v>8</v>
      </c>
      <c r="C9" s="10" t="s">
        <v>9</v>
      </c>
      <c r="D9" s="10" t="s">
        <v>15</v>
      </c>
      <c r="E9" s="10" t="str">
        <f>"644020240512121728169075"</f>
        <v>644020240512121728169075</v>
      </c>
      <c r="F9" s="9"/>
    </row>
    <row r="10" s="2" customFormat="1" ht="30" customHeight="1" spans="1:6">
      <c r="A10" s="9">
        <v>7</v>
      </c>
      <c r="B10" s="10" t="s">
        <v>8</v>
      </c>
      <c r="C10" s="10" t="s">
        <v>9</v>
      </c>
      <c r="D10" s="10" t="s">
        <v>16</v>
      </c>
      <c r="E10" s="10" t="str">
        <f>"644020240512122054169089"</f>
        <v>644020240512122054169089</v>
      </c>
      <c r="F10" s="9"/>
    </row>
    <row r="11" s="2" customFormat="1" ht="30" customHeight="1" spans="1:6">
      <c r="A11" s="9">
        <v>8</v>
      </c>
      <c r="B11" s="10" t="s">
        <v>8</v>
      </c>
      <c r="C11" s="10" t="s">
        <v>9</v>
      </c>
      <c r="D11" s="10" t="s">
        <v>17</v>
      </c>
      <c r="E11" s="10" t="str">
        <f>"644020240512135938169455"</f>
        <v>644020240512135938169455</v>
      </c>
      <c r="F11" s="9"/>
    </row>
    <row r="12" s="2" customFormat="1" ht="30" customHeight="1" spans="1:6">
      <c r="A12" s="9">
        <v>9</v>
      </c>
      <c r="B12" s="10" t="s">
        <v>8</v>
      </c>
      <c r="C12" s="10" t="s">
        <v>9</v>
      </c>
      <c r="D12" s="10" t="s">
        <v>18</v>
      </c>
      <c r="E12" s="10" t="str">
        <f>"644020240512143456169559"</f>
        <v>644020240512143456169559</v>
      </c>
      <c r="F12" s="9"/>
    </row>
    <row r="13" s="2" customFormat="1" ht="30" customHeight="1" spans="1:6">
      <c r="A13" s="9">
        <v>10</v>
      </c>
      <c r="B13" s="10" t="s">
        <v>8</v>
      </c>
      <c r="C13" s="10" t="s">
        <v>9</v>
      </c>
      <c r="D13" s="10" t="s">
        <v>19</v>
      </c>
      <c r="E13" s="10" t="str">
        <f>"644020240512151321169697"</f>
        <v>644020240512151321169697</v>
      </c>
      <c r="F13" s="9"/>
    </row>
    <row r="14" s="2" customFormat="1" ht="30" customHeight="1" spans="1:6">
      <c r="A14" s="9">
        <v>11</v>
      </c>
      <c r="B14" s="10" t="s">
        <v>8</v>
      </c>
      <c r="C14" s="10" t="s">
        <v>9</v>
      </c>
      <c r="D14" s="10" t="s">
        <v>20</v>
      </c>
      <c r="E14" s="10" t="str">
        <f>"644020240512140315169464"</f>
        <v>644020240512140315169464</v>
      </c>
      <c r="F14" s="9"/>
    </row>
    <row r="15" s="2" customFormat="1" ht="30" customHeight="1" spans="1:6">
      <c r="A15" s="9">
        <v>12</v>
      </c>
      <c r="B15" s="10" t="s">
        <v>8</v>
      </c>
      <c r="C15" s="10" t="s">
        <v>9</v>
      </c>
      <c r="D15" s="10" t="s">
        <v>21</v>
      </c>
      <c r="E15" s="10" t="str">
        <f>"644020240512162017169963"</f>
        <v>644020240512162017169963</v>
      </c>
      <c r="F15" s="9"/>
    </row>
    <row r="16" s="2" customFormat="1" ht="30" customHeight="1" spans="1:6">
      <c r="A16" s="9">
        <v>13</v>
      </c>
      <c r="B16" s="10" t="s">
        <v>8</v>
      </c>
      <c r="C16" s="10" t="s">
        <v>9</v>
      </c>
      <c r="D16" s="10" t="s">
        <v>22</v>
      </c>
      <c r="E16" s="10" t="str">
        <f>"644020240512164940170076"</f>
        <v>644020240512164940170076</v>
      </c>
      <c r="F16" s="9"/>
    </row>
    <row r="17" s="2" customFormat="1" ht="30" customHeight="1" spans="1:6">
      <c r="A17" s="9">
        <v>14</v>
      </c>
      <c r="B17" s="10" t="s">
        <v>8</v>
      </c>
      <c r="C17" s="10" t="s">
        <v>9</v>
      </c>
      <c r="D17" s="10" t="s">
        <v>23</v>
      </c>
      <c r="E17" s="10" t="str">
        <f>"644020240512174119170251"</f>
        <v>644020240512174119170251</v>
      </c>
      <c r="F17" s="9"/>
    </row>
    <row r="18" s="2" customFormat="1" ht="30" customHeight="1" spans="1:6">
      <c r="A18" s="9">
        <v>15</v>
      </c>
      <c r="B18" s="10" t="s">
        <v>8</v>
      </c>
      <c r="C18" s="10" t="s">
        <v>9</v>
      </c>
      <c r="D18" s="10" t="s">
        <v>24</v>
      </c>
      <c r="E18" s="10" t="str">
        <f>"644020240512120641169040"</f>
        <v>644020240512120641169040</v>
      </c>
      <c r="F18" s="9"/>
    </row>
    <row r="19" s="2" customFormat="1" ht="30" customHeight="1" spans="1:6">
      <c r="A19" s="9">
        <v>16</v>
      </c>
      <c r="B19" s="10" t="s">
        <v>8</v>
      </c>
      <c r="C19" s="10" t="s">
        <v>9</v>
      </c>
      <c r="D19" s="10" t="s">
        <v>25</v>
      </c>
      <c r="E19" s="10" t="str">
        <f>"644020240512183545170419"</f>
        <v>644020240512183545170419</v>
      </c>
      <c r="F19" s="9"/>
    </row>
    <row r="20" s="2" customFormat="1" ht="30" customHeight="1" spans="1:6">
      <c r="A20" s="9">
        <v>17</v>
      </c>
      <c r="B20" s="10" t="s">
        <v>8</v>
      </c>
      <c r="C20" s="10" t="s">
        <v>9</v>
      </c>
      <c r="D20" s="10" t="s">
        <v>26</v>
      </c>
      <c r="E20" s="10" t="str">
        <f>"644020240512194255170647"</f>
        <v>644020240512194255170647</v>
      </c>
      <c r="F20" s="9"/>
    </row>
    <row r="21" s="2" customFormat="1" ht="30" customHeight="1" spans="1:6">
      <c r="A21" s="9">
        <v>18</v>
      </c>
      <c r="B21" s="10" t="s">
        <v>8</v>
      </c>
      <c r="C21" s="10" t="s">
        <v>9</v>
      </c>
      <c r="D21" s="10" t="s">
        <v>27</v>
      </c>
      <c r="E21" s="10" t="str">
        <f>"644020240512163911170034"</f>
        <v>644020240512163911170034</v>
      </c>
      <c r="F21" s="9"/>
    </row>
    <row r="22" s="2" customFormat="1" ht="30" customHeight="1" spans="1:6">
      <c r="A22" s="9">
        <v>19</v>
      </c>
      <c r="B22" s="10" t="s">
        <v>8</v>
      </c>
      <c r="C22" s="10" t="s">
        <v>9</v>
      </c>
      <c r="D22" s="10" t="s">
        <v>28</v>
      </c>
      <c r="E22" s="10" t="str">
        <f>"644020240512215331171284"</f>
        <v>644020240512215331171284</v>
      </c>
      <c r="F22" s="9"/>
    </row>
    <row r="23" s="2" customFormat="1" ht="30" customHeight="1" spans="1:6">
      <c r="A23" s="9">
        <v>20</v>
      </c>
      <c r="B23" s="10" t="s">
        <v>8</v>
      </c>
      <c r="C23" s="10" t="s">
        <v>9</v>
      </c>
      <c r="D23" s="10" t="s">
        <v>29</v>
      </c>
      <c r="E23" s="10" t="str">
        <f>"644020240512220438171353"</f>
        <v>644020240512220438171353</v>
      </c>
      <c r="F23" s="9"/>
    </row>
    <row r="24" s="2" customFormat="1" ht="30" customHeight="1" spans="1:6">
      <c r="A24" s="9">
        <v>21</v>
      </c>
      <c r="B24" s="10" t="s">
        <v>8</v>
      </c>
      <c r="C24" s="10" t="s">
        <v>9</v>
      </c>
      <c r="D24" s="10" t="s">
        <v>30</v>
      </c>
      <c r="E24" s="10" t="str">
        <f>"644020240512222256171452"</f>
        <v>644020240512222256171452</v>
      </c>
      <c r="F24" s="9"/>
    </row>
    <row r="25" s="2" customFormat="1" ht="30" customHeight="1" spans="1:6">
      <c r="A25" s="9">
        <v>22</v>
      </c>
      <c r="B25" s="10" t="s">
        <v>8</v>
      </c>
      <c r="C25" s="10" t="s">
        <v>9</v>
      </c>
      <c r="D25" s="10" t="s">
        <v>31</v>
      </c>
      <c r="E25" s="10" t="str">
        <f>"644020240512215914171324"</f>
        <v>644020240512215914171324</v>
      </c>
      <c r="F25" s="9"/>
    </row>
    <row r="26" s="2" customFormat="1" ht="30" customHeight="1" spans="1:6">
      <c r="A26" s="9">
        <v>23</v>
      </c>
      <c r="B26" s="10" t="s">
        <v>8</v>
      </c>
      <c r="C26" s="10" t="s">
        <v>9</v>
      </c>
      <c r="D26" s="10" t="s">
        <v>32</v>
      </c>
      <c r="E26" s="10" t="str">
        <f>"644020240512225724171656"</f>
        <v>644020240512225724171656</v>
      </c>
      <c r="F26" s="9"/>
    </row>
    <row r="27" s="2" customFormat="1" ht="30" customHeight="1" spans="1:6">
      <c r="A27" s="9">
        <v>24</v>
      </c>
      <c r="B27" s="10" t="s">
        <v>8</v>
      </c>
      <c r="C27" s="10" t="s">
        <v>9</v>
      </c>
      <c r="D27" s="10" t="s">
        <v>33</v>
      </c>
      <c r="E27" s="10" t="str">
        <f>"644020240512123803169153"</f>
        <v>644020240512123803169153</v>
      </c>
      <c r="F27" s="9"/>
    </row>
    <row r="28" s="2" customFormat="1" ht="30" customHeight="1" spans="1:6">
      <c r="A28" s="9">
        <v>25</v>
      </c>
      <c r="B28" s="10" t="s">
        <v>8</v>
      </c>
      <c r="C28" s="10" t="s">
        <v>9</v>
      </c>
      <c r="D28" s="10" t="s">
        <v>34</v>
      </c>
      <c r="E28" s="10" t="str">
        <f>"644020240512234202171866"</f>
        <v>644020240512234202171866</v>
      </c>
      <c r="F28" s="9"/>
    </row>
    <row r="29" s="2" customFormat="1" ht="30" customHeight="1" spans="1:6">
      <c r="A29" s="9">
        <v>26</v>
      </c>
      <c r="B29" s="10" t="s">
        <v>8</v>
      </c>
      <c r="C29" s="10" t="s">
        <v>9</v>
      </c>
      <c r="D29" s="10" t="s">
        <v>35</v>
      </c>
      <c r="E29" s="10" t="str">
        <f>"644020240513002459171984"</f>
        <v>644020240513002459171984</v>
      </c>
      <c r="F29" s="9"/>
    </row>
    <row r="30" s="2" customFormat="1" ht="30" customHeight="1" spans="1:6">
      <c r="A30" s="9">
        <v>27</v>
      </c>
      <c r="B30" s="10" t="s">
        <v>8</v>
      </c>
      <c r="C30" s="10" t="s">
        <v>9</v>
      </c>
      <c r="D30" s="10" t="s">
        <v>36</v>
      </c>
      <c r="E30" s="10" t="str">
        <f>"644020240513081355172225"</f>
        <v>644020240513081355172225</v>
      </c>
      <c r="F30" s="9"/>
    </row>
    <row r="31" s="2" customFormat="1" ht="30" customHeight="1" spans="1:6">
      <c r="A31" s="9">
        <v>28</v>
      </c>
      <c r="B31" s="10" t="s">
        <v>8</v>
      </c>
      <c r="C31" s="10" t="s">
        <v>9</v>
      </c>
      <c r="D31" s="10" t="s">
        <v>37</v>
      </c>
      <c r="E31" s="10" t="str">
        <f>"644020240513081952172249"</f>
        <v>644020240513081952172249</v>
      </c>
      <c r="F31" s="9"/>
    </row>
    <row r="32" s="2" customFormat="1" ht="30" customHeight="1" spans="1:6">
      <c r="A32" s="9">
        <v>29</v>
      </c>
      <c r="B32" s="10" t="s">
        <v>8</v>
      </c>
      <c r="C32" s="10" t="s">
        <v>9</v>
      </c>
      <c r="D32" s="10" t="s">
        <v>38</v>
      </c>
      <c r="E32" s="10" t="str">
        <f>"644020240513075130172179"</f>
        <v>644020240513075130172179</v>
      </c>
      <c r="F32" s="9"/>
    </row>
    <row r="33" s="2" customFormat="1" ht="30" customHeight="1" spans="1:6">
      <c r="A33" s="9">
        <v>30</v>
      </c>
      <c r="B33" s="10" t="s">
        <v>8</v>
      </c>
      <c r="C33" s="10" t="s">
        <v>9</v>
      </c>
      <c r="D33" s="10" t="s">
        <v>39</v>
      </c>
      <c r="E33" s="10" t="str">
        <f>"644020240513081658172235"</f>
        <v>644020240513081658172235</v>
      </c>
      <c r="F33" s="9"/>
    </row>
    <row r="34" s="2" customFormat="1" ht="30" customHeight="1" spans="1:6">
      <c r="A34" s="9">
        <v>31</v>
      </c>
      <c r="B34" s="10" t="s">
        <v>8</v>
      </c>
      <c r="C34" s="10" t="s">
        <v>9</v>
      </c>
      <c r="D34" s="10" t="s">
        <v>40</v>
      </c>
      <c r="E34" s="10" t="str">
        <f>"644020240513084435172382"</f>
        <v>644020240513084435172382</v>
      </c>
      <c r="F34" s="9"/>
    </row>
    <row r="35" s="2" customFormat="1" ht="30" customHeight="1" spans="1:6">
      <c r="A35" s="9">
        <v>32</v>
      </c>
      <c r="B35" s="10" t="s">
        <v>8</v>
      </c>
      <c r="C35" s="10" t="s">
        <v>9</v>
      </c>
      <c r="D35" s="10" t="s">
        <v>41</v>
      </c>
      <c r="E35" s="10" t="str">
        <f>"644020240513090024172486"</f>
        <v>644020240513090024172486</v>
      </c>
      <c r="F35" s="9"/>
    </row>
    <row r="36" s="2" customFormat="1" ht="30" customHeight="1" spans="1:6">
      <c r="A36" s="9">
        <v>33</v>
      </c>
      <c r="B36" s="10" t="s">
        <v>8</v>
      </c>
      <c r="C36" s="10" t="s">
        <v>9</v>
      </c>
      <c r="D36" s="10" t="s">
        <v>42</v>
      </c>
      <c r="E36" s="10" t="str">
        <f>"644020240513093928172904"</f>
        <v>644020240513093928172904</v>
      </c>
      <c r="F36" s="9"/>
    </row>
    <row r="37" s="2" customFormat="1" ht="30" customHeight="1" spans="1:6">
      <c r="A37" s="9">
        <v>34</v>
      </c>
      <c r="B37" s="10" t="s">
        <v>8</v>
      </c>
      <c r="C37" s="10" t="s">
        <v>9</v>
      </c>
      <c r="D37" s="10" t="s">
        <v>43</v>
      </c>
      <c r="E37" s="10" t="str">
        <f>"644020240513093742172886"</f>
        <v>644020240513093742172886</v>
      </c>
      <c r="F37" s="9"/>
    </row>
    <row r="38" s="2" customFormat="1" ht="30" customHeight="1" spans="1:6">
      <c r="A38" s="9">
        <v>35</v>
      </c>
      <c r="B38" s="10" t="s">
        <v>8</v>
      </c>
      <c r="C38" s="10" t="s">
        <v>9</v>
      </c>
      <c r="D38" s="10" t="s">
        <v>44</v>
      </c>
      <c r="E38" s="10" t="str">
        <f>"644020240513103155173440"</f>
        <v>644020240513103155173440</v>
      </c>
      <c r="F38" s="9"/>
    </row>
    <row r="39" s="2" customFormat="1" ht="30" customHeight="1" spans="1:6">
      <c r="A39" s="9">
        <v>36</v>
      </c>
      <c r="B39" s="10" t="s">
        <v>8</v>
      </c>
      <c r="C39" s="10" t="s">
        <v>9</v>
      </c>
      <c r="D39" s="10" t="s">
        <v>45</v>
      </c>
      <c r="E39" s="10" t="str">
        <f>"644020240513104040173510"</f>
        <v>644020240513104040173510</v>
      </c>
      <c r="F39" s="9"/>
    </row>
    <row r="40" s="2" customFormat="1" ht="30" customHeight="1" spans="1:6">
      <c r="A40" s="9">
        <v>37</v>
      </c>
      <c r="B40" s="10" t="s">
        <v>8</v>
      </c>
      <c r="C40" s="10" t="s">
        <v>9</v>
      </c>
      <c r="D40" s="10" t="s">
        <v>46</v>
      </c>
      <c r="E40" s="10" t="str">
        <f>"644020240513110242173718"</f>
        <v>644020240513110242173718</v>
      </c>
      <c r="F40" s="9"/>
    </row>
    <row r="41" s="2" customFormat="1" ht="30" customHeight="1" spans="1:6">
      <c r="A41" s="9">
        <v>38</v>
      </c>
      <c r="B41" s="10" t="s">
        <v>8</v>
      </c>
      <c r="C41" s="10" t="s">
        <v>9</v>
      </c>
      <c r="D41" s="10" t="s">
        <v>47</v>
      </c>
      <c r="E41" s="10" t="str">
        <f>"644020240513112806173947"</f>
        <v>644020240513112806173947</v>
      </c>
      <c r="F41" s="9"/>
    </row>
    <row r="42" s="2" customFormat="1" ht="30" customHeight="1" spans="1:6">
      <c r="A42" s="9">
        <v>39</v>
      </c>
      <c r="B42" s="10" t="s">
        <v>8</v>
      </c>
      <c r="C42" s="10" t="s">
        <v>9</v>
      </c>
      <c r="D42" s="10" t="s">
        <v>48</v>
      </c>
      <c r="E42" s="10" t="str">
        <f>"644020240513084044172357"</f>
        <v>644020240513084044172357</v>
      </c>
      <c r="F42" s="9"/>
    </row>
    <row r="43" s="2" customFormat="1" ht="30" customHeight="1" spans="1:6">
      <c r="A43" s="9">
        <v>40</v>
      </c>
      <c r="B43" s="10" t="s">
        <v>8</v>
      </c>
      <c r="C43" s="10" t="s">
        <v>9</v>
      </c>
      <c r="D43" s="10" t="s">
        <v>49</v>
      </c>
      <c r="E43" s="10" t="str">
        <f>"644020240513113647174008"</f>
        <v>644020240513113647174008</v>
      </c>
      <c r="F43" s="9"/>
    </row>
    <row r="44" s="2" customFormat="1" ht="30" customHeight="1" spans="1:6">
      <c r="A44" s="9">
        <v>41</v>
      </c>
      <c r="B44" s="10" t="s">
        <v>8</v>
      </c>
      <c r="C44" s="10" t="s">
        <v>9</v>
      </c>
      <c r="D44" s="10" t="s">
        <v>50</v>
      </c>
      <c r="E44" s="10" t="str">
        <f>"644020240512101436168470"</f>
        <v>644020240512101436168470</v>
      </c>
      <c r="F44" s="9"/>
    </row>
    <row r="45" s="2" customFormat="1" ht="30" customHeight="1" spans="1:6">
      <c r="A45" s="9">
        <v>42</v>
      </c>
      <c r="B45" s="10" t="s">
        <v>8</v>
      </c>
      <c r="C45" s="10" t="s">
        <v>9</v>
      </c>
      <c r="D45" s="10" t="s">
        <v>51</v>
      </c>
      <c r="E45" s="10" t="str">
        <f>"644020240513120632174171"</f>
        <v>644020240513120632174171</v>
      </c>
      <c r="F45" s="9"/>
    </row>
    <row r="46" s="2" customFormat="1" ht="30" customHeight="1" spans="1:6">
      <c r="A46" s="9">
        <v>43</v>
      </c>
      <c r="B46" s="10" t="s">
        <v>8</v>
      </c>
      <c r="C46" s="10" t="s">
        <v>9</v>
      </c>
      <c r="D46" s="10" t="s">
        <v>52</v>
      </c>
      <c r="E46" s="10" t="str">
        <f>"644020240513111530173835"</f>
        <v>644020240513111530173835</v>
      </c>
      <c r="F46" s="9"/>
    </row>
    <row r="47" s="2" customFormat="1" ht="30" customHeight="1" spans="1:6">
      <c r="A47" s="9">
        <v>44</v>
      </c>
      <c r="B47" s="10" t="s">
        <v>8</v>
      </c>
      <c r="C47" s="10" t="s">
        <v>9</v>
      </c>
      <c r="D47" s="10" t="s">
        <v>53</v>
      </c>
      <c r="E47" s="10" t="str">
        <f>"644020240513095211173044"</f>
        <v>644020240513095211173044</v>
      </c>
      <c r="F47" s="9"/>
    </row>
    <row r="48" s="2" customFormat="1" ht="30" customHeight="1" spans="1:6">
      <c r="A48" s="9">
        <v>45</v>
      </c>
      <c r="B48" s="10" t="s">
        <v>8</v>
      </c>
      <c r="C48" s="10" t="s">
        <v>9</v>
      </c>
      <c r="D48" s="10" t="s">
        <v>54</v>
      </c>
      <c r="E48" s="10" t="str">
        <f>"644020240513124500174395"</f>
        <v>644020240513124500174395</v>
      </c>
      <c r="F48" s="9"/>
    </row>
    <row r="49" s="2" customFormat="1" ht="30" customHeight="1" spans="1:6">
      <c r="A49" s="9">
        <v>46</v>
      </c>
      <c r="B49" s="10" t="s">
        <v>8</v>
      </c>
      <c r="C49" s="10" t="s">
        <v>9</v>
      </c>
      <c r="D49" s="10" t="s">
        <v>55</v>
      </c>
      <c r="E49" s="10" t="str">
        <f>"644020240513130716174557"</f>
        <v>644020240513130716174557</v>
      </c>
      <c r="F49" s="9"/>
    </row>
    <row r="50" s="2" customFormat="1" ht="30" customHeight="1" spans="1:6">
      <c r="A50" s="9">
        <v>47</v>
      </c>
      <c r="B50" s="10" t="s">
        <v>8</v>
      </c>
      <c r="C50" s="10" t="s">
        <v>9</v>
      </c>
      <c r="D50" s="10" t="s">
        <v>56</v>
      </c>
      <c r="E50" s="10" t="str">
        <f>"644020240513124617174411"</f>
        <v>644020240513124617174411</v>
      </c>
      <c r="F50" s="9"/>
    </row>
    <row r="51" s="2" customFormat="1" ht="30" customHeight="1" spans="1:6">
      <c r="A51" s="9">
        <v>48</v>
      </c>
      <c r="B51" s="10" t="s">
        <v>8</v>
      </c>
      <c r="C51" s="10" t="s">
        <v>9</v>
      </c>
      <c r="D51" s="10" t="s">
        <v>57</v>
      </c>
      <c r="E51" s="10" t="str">
        <f>"644020240513142012174902"</f>
        <v>644020240513142012174902</v>
      </c>
      <c r="F51" s="9"/>
    </row>
    <row r="52" s="2" customFormat="1" ht="30" customHeight="1" spans="1:6">
      <c r="A52" s="9">
        <v>49</v>
      </c>
      <c r="B52" s="10" t="s">
        <v>8</v>
      </c>
      <c r="C52" s="10" t="s">
        <v>9</v>
      </c>
      <c r="D52" s="10" t="s">
        <v>58</v>
      </c>
      <c r="E52" s="10" t="str">
        <f>"644020240513142139174911"</f>
        <v>644020240513142139174911</v>
      </c>
      <c r="F52" s="9"/>
    </row>
    <row r="53" s="2" customFormat="1" ht="30" customHeight="1" spans="1:6">
      <c r="A53" s="9">
        <v>50</v>
      </c>
      <c r="B53" s="10" t="s">
        <v>8</v>
      </c>
      <c r="C53" s="10" t="s">
        <v>9</v>
      </c>
      <c r="D53" s="10" t="s">
        <v>59</v>
      </c>
      <c r="E53" s="10" t="str">
        <f>"644020240513150421175219"</f>
        <v>644020240513150421175219</v>
      </c>
      <c r="F53" s="9"/>
    </row>
    <row r="54" s="2" customFormat="1" ht="30" customHeight="1" spans="1:6">
      <c r="A54" s="9">
        <v>51</v>
      </c>
      <c r="B54" s="10" t="s">
        <v>8</v>
      </c>
      <c r="C54" s="10" t="s">
        <v>9</v>
      </c>
      <c r="D54" s="10" t="s">
        <v>60</v>
      </c>
      <c r="E54" s="10" t="str">
        <f>"644020240513153603175528"</f>
        <v>644020240513153603175528</v>
      </c>
      <c r="F54" s="9"/>
    </row>
    <row r="55" s="2" customFormat="1" ht="30" customHeight="1" spans="1:6">
      <c r="A55" s="9">
        <v>52</v>
      </c>
      <c r="B55" s="10" t="s">
        <v>8</v>
      </c>
      <c r="C55" s="10" t="s">
        <v>9</v>
      </c>
      <c r="D55" s="10" t="s">
        <v>61</v>
      </c>
      <c r="E55" s="10" t="str">
        <f>"644020240513145944175185"</f>
        <v>644020240513145944175185</v>
      </c>
      <c r="F55" s="9"/>
    </row>
    <row r="56" s="2" customFormat="1" ht="30" customHeight="1" spans="1:6">
      <c r="A56" s="9">
        <v>53</v>
      </c>
      <c r="B56" s="10" t="s">
        <v>8</v>
      </c>
      <c r="C56" s="10" t="s">
        <v>9</v>
      </c>
      <c r="D56" s="10" t="s">
        <v>62</v>
      </c>
      <c r="E56" s="10" t="str">
        <f>"644020240513094539172964"</f>
        <v>644020240513094539172964</v>
      </c>
      <c r="F56" s="9"/>
    </row>
    <row r="57" s="2" customFormat="1" ht="30" customHeight="1" spans="1:6">
      <c r="A57" s="9">
        <v>54</v>
      </c>
      <c r="B57" s="10" t="s">
        <v>8</v>
      </c>
      <c r="C57" s="10" t="s">
        <v>9</v>
      </c>
      <c r="D57" s="10" t="s">
        <v>63</v>
      </c>
      <c r="E57" s="10" t="str">
        <f>"644020240513161229175858"</f>
        <v>644020240513161229175858</v>
      </c>
      <c r="F57" s="9"/>
    </row>
    <row r="58" s="2" customFormat="1" ht="30" customHeight="1" spans="1:6">
      <c r="A58" s="9">
        <v>55</v>
      </c>
      <c r="B58" s="10" t="s">
        <v>8</v>
      </c>
      <c r="C58" s="10" t="s">
        <v>9</v>
      </c>
      <c r="D58" s="10" t="s">
        <v>64</v>
      </c>
      <c r="E58" s="10" t="str">
        <f>"644020240513163448175967"</f>
        <v>644020240513163448175967</v>
      </c>
      <c r="F58" s="9"/>
    </row>
    <row r="59" s="2" customFormat="1" ht="30" customHeight="1" spans="1:6">
      <c r="A59" s="9">
        <v>56</v>
      </c>
      <c r="B59" s="10" t="s">
        <v>8</v>
      </c>
      <c r="C59" s="10" t="s">
        <v>9</v>
      </c>
      <c r="D59" s="10" t="s">
        <v>65</v>
      </c>
      <c r="E59" s="10" t="str">
        <f>"644020240513073543172154"</f>
        <v>644020240513073543172154</v>
      </c>
      <c r="F59" s="9"/>
    </row>
    <row r="60" s="2" customFormat="1" ht="30" customHeight="1" spans="1:6">
      <c r="A60" s="9">
        <v>57</v>
      </c>
      <c r="B60" s="10" t="s">
        <v>8</v>
      </c>
      <c r="C60" s="10" t="s">
        <v>9</v>
      </c>
      <c r="D60" s="10" t="s">
        <v>66</v>
      </c>
      <c r="E60" s="10" t="str">
        <f>"644020240513171448176161"</f>
        <v>644020240513171448176161</v>
      </c>
      <c r="F60" s="9"/>
    </row>
    <row r="61" s="2" customFormat="1" ht="30" customHeight="1" spans="1:6">
      <c r="A61" s="9">
        <v>58</v>
      </c>
      <c r="B61" s="10" t="s">
        <v>8</v>
      </c>
      <c r="C61" s="10" t="s">
        <v>9</v>
      </c>
      <c r="D61" s="10" t="s">
        <v>67</v>
      </c>
      <c r="E61" s="10" t="str">
        <f>"644020240513150527175230"</f>
        <v>644020240513150527175230</v>
      </c>
      <c r="F61" s="9"/>
    </row>
    <row r="62" s="2" customFormat="1" ht="30" customHeight="1" spans="1:6">
      <c r="A62" s="9">
        <v>59</v>
      </c>
      <c r="B62" s="10" t="s">
        <v>8</v>
      </c>
      <c r="C62" s="10" t="s">
        <v>9</v>
      </c>
      <c r="D62" s="10" t="s">
        <v>68</v>
      </c>
      <c r="E62" s="10" t="str">
        <f>"644020240513151850175359"</f>
        <v>644020240513151850175359</v>
      </c>
      <c r="F62" s="9"/>
    </row>
    <row r="63" s="2" customFormat="1" ht="30" customHeight="1" spans="1:6">
      <c r="A63" s="9">
        <v>60</v>
      </c>
      <c r="B63" s="10" t="s">
        <v>8</v>
      </c>
      <c r="C63" s="10" t="s">
        <v>9</v>
      </c>
      <c r="D63" s="10" t="s">
        <v>69</v>
      </c>
      <c r="E63" s="10" t="str">
        <f>"644020240513173002176231"</f>
        <v>644020240513173002176231</v>
      </c>
      <c r="F63" s="9"/>
    </row>
    <row r="64" s="2" customFormat="1" ht="30" customHeight="1" spans="1:6">
      <c r="A64" s="9">
        <v>61</v>
      </c>
      <c r="B64" s="10" t="s">
        <v>8</v>
      </c>
      <c r="C64" s="10" t="s">
        <v>9</v>
      </c>
      <c r="D64" s="10" t="s">
        <v>70</v>
      </c>
      <c r="E64" s="10" t="str">
        <f>"644020240512094924168318"</f>
        <v>644020240512094924168318</v>
      </c>
      <c r="F64" s="9"/>
    </row>
    <row r="65" s="2" customFormat="1" ht="30" customHeight="1" spans="1:6">
      <c r="A65" s="9">
        <v>62</v>
      </c>
      <c r="B65" s="10" t="s">
        <v>8</v>
      </c>
      <c r="C65" s="10" t="s">
        <v>9</v>
      </c>
      <c r="D65" s="10" t="s">
        <v>71</v>
      </c>
      <c r="E65" s="10" t="str">
        <f>"644020240513190450176528"</f>
        <v>644020240513190450176528</v>
      </c>
      <c r="F65" s="9"/>
    </row>
    <row r="66" s="2" customFormat="1" ht="30" customHeight="1" spans="1:6">
      <c r="A66" s="9">
        <v>63</v>
      </c>
      <c r="B66" s="10" t="s">
        <v>8</v>
      </c>
      <c r="C66" s="10" t="s">
        <v>9</v>
      </c>
      <c r="D66" s="10" t="s">
        <v>72</v>
      </c>
      <c r="E66" s="10" t="str">
        <f>"644020240513205218176926"</f>
        <v>644020240513205218176926</v>
      </c>
      <c r="F66" s="9"/>
    </row>
    <row r="67" s="2" customFormat="1" ht="30" customHeight="1" spans="1:6">
      <c r="A67" s="9">
        <v>64</v>
      </c>
      <c r="B67" s="10" t="s">
        <v>8</v>
      </c>
      <c r="C67" s="10" t="s">
        <v>9</v>
      </c>
      <c r="D67" s="10" t="s">
        <v>73</v>
      </c>
      <c r="E67" s="10" t="str">
        <f>"644020240513204331176895"</f>
        <v>644020240513204331176895</v>
      </c>
      <c r="F67" s="9"/>
    </row>
    <row r="68" s="2" customFormat="1" ht="30" customHeight="1" spans="1:6">
      <c r="A68" s="9">
        <v>65</v>
      </c>
      <c r="B68" s="10" t="s">
        <v>8</v>
      </c>
      <c r="C68" s="10" t="s">
        <v>9</v>
      </c>
      <c r="D68" s="10" t="s">
        <v>74</v>
      </c>
      <c r="E68" s="10" t="str">
        <f>"644020240513211453177021"</f>
        <v>644020240513211453177021</v>
      </c>
      <c r="F68" s="9"/>
    </row>
    <row r="69" s="2" customFormat="1" ht="30" customHeight="1" spans="1:6">
      <c r="A69" s="9">
        <v>66</v>
      </c>
      <c r="B69" s="10" t="s">
        <v>8</v>
      </c>
      <c r="C69" s="10" t="s">
        <v>9</v>
      </c>
      <c r="D69" s="10" t="s">
        <v>75</v>
      </c>
      <c r="E69" s="10" t="str">
        <f>"644020240513211335177014"</f>
        <v>644020240513211335177014</v>
      </c>
      <c r="F69" s="9"/>
    </row>
    <row r="70" s="2" customFormat="1" ht="30" customHeight="1" spans="1:6">
      <c r="A70" s="9">
        <v>67</v>
      </c>
      <c r="B70" s="10" t="s">
        <v>8</v>
      </c>
      <c r="C70" s="10" t="s">
        <v>9</v>
      </c>
      <c r="D70" s="10" t="s">
        <v>76</v>
      </c>
      <c r="E70" s="10" t="str">
        <f>"644020240513210540176981"</f>
        <v>644020240513210540176981</v>
      </c>
      <c r="F70" s="9"/>
    </row>
    <row r="71" s="2" customFormat="1" ht="30" customHeight="1" spans="1:6">
      <c r="A71" s="9">
        <v>68</v>
      </c>
      <c r="B71" s="10" t="s">
        <v>8</v>
      </c>
      <c r="C71" s="10" t="s">
        <v>9</v>
      </c>
      <c r="D71" s="10" t="s">
        <v>77</v>
      </c>
      <c r="E71" s="10" t="str">
        <f>"644020240513103134173436"</f>
        <v>644020240513103134173436</v>
      </c>
      <c r="F71" s="9"/>
    </row>
    <row r="72" s="2" customFormat="1" ht="30" customHeight="1" spans="1:6">
      <c r="A72" s="9">
        <v>69</v>
      </c>
      <c r="B72" s="10" t="s">
        <v>8</v>
      </c>
      <c r="C72" s="10" t="s">
        <v>9</v>
      </c>
      <c r="D72" s="10" t="s">
        <v>78</v>
      </c>
      <c r="E72" s="10" t="str">
        <f>"644020240513170718176132"</f>
        <v>644020240513170718176132</v>
      </c>
      <c r="F72" s="9"/>
    </row>
    <row r="73" s="2" customFormat="1" ht="30" customHeight="1" spans="1:6">
      <c r="A73" s="9">
        <v>70</v>
      </c>
      <c r="B73" s="10" t="s">
        <v>8</v>
      </c>
      <c r="C73" s="10" t="s">
        <v>9</v>
      </c>
      <c r="D73" s="10" t="s">
        <v>79</v>
      </c>
      <c r="E73" s="10" t="str">
        <f>"644020240513153635175532"</f>
        <v>644020240513153635175532</v>
      </c>
      <c r="F73" s="9"/>
    </row>
    <row r="74" s="2" customFormat="1" ht="30" customHeight="1" spans="1:6">
      <c r="A74" s="9">
        <v>71</v>
      </c>
      <c r="B74" s="10" t="s">
        <v>8</v>
      </c>
      <c r="C74" s="10" t="s">
        <v>9</v>
      </c>
      <c r="D74" s="10" t="s">
        <v>80</v>
      </c>
      <c r="E74" s="10" t="str">
        <f>"644020240513212513177067"</f>
        <v>644020240513212513177067</v>
      </c>
      <c r="F74" s="9"/>
    </row>
    <row r="75" s="2" customFormat="1" ht="30" customHeight="1" spans="1:6">
      <c r="A75" s="9">
        <v>72</v>
      </c>
      <c r="B75" s="10" t="s">
        <v>8</v>
      </c>
      <c r="C75" s="10" t="s">
        <v>9</v>
      </c>
      <c r="D75" s="10" t="s">
        <v>81</v>
      </c>
      <c r="E75" s="10" t="str">
        <f>"644020240513203513176852"</f>
        <v>644020240513203513176852</v>
      </c>
      <c r="F75" s="9"/>
    </row>
    <row r="76" s="2" customFormat="1" ht="30" customHeight="1" spans="1:6">
      <c r="A76" s="9">
        <v>73</v>
      </c>
      <c r="B76" s="10" t="s">
        <v>8</v>
      </c>
      <c r="C76" s="10" t="s">
        <v>9</v>
      </c>
      <c r="D76" s="10" t="s">
        <v>82</v>
      </c>
      <c r="E76" s="10" t="str">
        <f>"644020240513142342174925"</f>
        <v>644020240513142342174925</v>
      </c>
      <c r="F76" s="9"/>
    </row>
    <row r="77" s="2" customFormat="1" ht="30" customHeight="1" spans="1:6">
      <c r="A77" s="9">
        <v>74</v>
      </c>
      <c r="B77" s="10" t="s">
        <v>8</v>
      </c>
      <c r="C77" s="10" t="s">
        <v>9</v>
      </c>
      <c r="D77" s="10" t="s">
        <v>83</v>
      </c>
      <c r="E77" s="10" t="str">
        <f>"644020240514005312177711"</f>
        <v>644020240514005312177711</v>
      </c>
      <c r="F77" s="9"/>
    </row>
    <row r="78" s="2" customFormat="1" ht="30" customHeight="1" spans="1:6">
      <c r="A78" s="9">
        <v>75</v>
      </c>
      <c r="B78" s="10" t="s">
        <v>8</v>
      </c>
      <c r="C78" s="10" t="s">
        <v>9</v>
      </c>
      <c r="D78" s="10" t="s">
        <v>84</v>
      </c>
      <c r="E78" s="10" t="str">
        <f>"644020240512230234171690"</f>
        <v>644020240512230234171690</v>
      </c>
      <c r="F78" s="9"/>
    </row>
    <row r="79" s="2" customFormat="1" ht="30" customHeight="1" spans="1:6">
      <c r="A79" s="9">
        <v>76</v>
      </c>
      <c r="B79" s="10" t="s">
        <v>8</v>
      </c>
      <c r="C79" s="10" t="s">
        <v>9</v>
      </c>
      <c r="D79" s="10" t="s">
        <v>85</v>
      </c>
      <c r="E79" s="10" t="str">
        <f>"644020240513111947173881"</f>
        <v>644020240513111947173881</v>
      </c>
      <c r="F79" s="9"/>
    </row>
    <row r="80" s="2" customFormat="1" ht="30" customHeight="1" spans="1:6">
      <c r="A80" s="9">
        <v>77</v>
      </c>
      <c r="B80" s="10" t="s">
        <v>8</v>
      </c>
      <c r="C80" s="10" t="s">
        <v>9</v>
      </c>
      <c r="D80" s="10" t="s">
        <v>86</v>
      </c>
      <c r="E80" s="10" t="str">
        <f>"644020240512221348171406"</f>
        <v>644020240512221348171406</v>
      </c>
      <c r="F80" s="9"/>
    </row>
    <row r="81" s="2" customFormat="1" ht="30" customHeight="1" spans="1:6">
      <c r="A81" s="9">
        <v>78</v>
      </c>
      <c r="B81" s="10" t="s">
        <v>8</v>
      </c>
      <c r="C81" s="10" t="s">
        <v>9</v>
      </c>
      <c r="D81" s="10" t="s">
        <v>87</v>
      </c>
      <c r="E81" s="10" t="str">
        <f>"644020240513103016173421"</f>
        <v>644020240513103016173421</v>
      </c>
      <c r="F81" s="9"/>
    </row>
    <row r="82" s="2" customFormat="1" ht="30" customHeight="1" spans="1:6">
      <c r="A82" s="9">
        <v>79</v>
      </c>
      <c r="B82" s="10" t="s">
        <v>8</v>
      </c>
      <c r="C82" s="10" t="s">
        <v>9</v>
      </c>
      <c r="D82" s="10" t="s">
        <v>88</v>
      </c>
      <c r="E82" s="10" t="str">
        <f>"644020240513193447176636"</f>
        <v>644020240513193447176636</v>
      </c>
      <c r="F82" s="9"/>
    </row>
    <row r="83" s="2" customFormat="1" ht="30" customHeight="1" spans="1:6">
      <c r="A83" s="9">
        <v>80</v>
      </c>
      <c r="B83" s="10" t="s">
        <v>8</v>
      </c>
      <c r="C83" s="10" t="s">
        <v>9</v>
      </c>
      <c r="D83" s="10" t="s">
        <v>89</v>
      </c>
      <c r="E83" s="10" t="str">
        <f>"644020240514085732177941"</f>
        <v>644020240514085732177941</v>
      </c>
      <c r="F83" s="9"/>
    </row>
    <row r="84" s="2" customFormat="1" ht="30" customHeight="1" spans="1:6">
      <c r="A84" s="9">
        <v>81</v>
      </c>
      <c r="B84" s="10" t="s">
        <v>8</v>
      </c>
      <c r="C84" s="10" t="s">
        <v>9</v>
      </c>
      <c r="D84" s="10" t="s">
        <v>90</v>
      </c>
      <c r="E84" s="10" t="str">
        <f>"644020240512212008171098"</f>
        <v>644020240512212008171098</v>
      </c>
      <c r="F84" s="9"/>
    </row>
    <row r="85" s="2" customFormat="1" ht="30" customHeight="1" spans="1:6">
      <c r="A85" s="9">
        <v>82</v>
      </c>
      <c r="B85" s="10" t="s">
        <v>8</v>
      </c>
      <c r="C85" s="10" t="s">
        <v>9</v>
      </c>
      <c r="D85" s="10" t="s">
        <v>91</v>
      </c>
      <c r="E85" s="10" t="str">
        <f>"644020240514092122178073"</f>
        <v>644020240514092122178073</v>
      </c>
      <c r="F85" s="9"/>
    </row>
    <row r="86" s="2" customFormat="1" ht="30" customHeight="1" spans="1:6">
      <c r="A86" s="9">
        <v>83</v>
      </c>
      <c r="B86" s="10" t="s">
        <v>8</v>
      </c>
      <c r="C86" s="10" t="s">
        <v>9</v>
      </c>
      <c r="D86" s="10" t="s">
        <v>92</v>
      </c>
      <c r="E86" s="10" t="str">
        <f>"644020240514100524178295"</f>
        <v>644020240514100524178295</v>
      </c>
      <c r="F86" s="9"/>
    </row>
    <row r="87" s="2" customFormat="1" ht="30" customHeight="1" spans="1:6">
      <c r="A87" s="9">
        <v>84</v>
      </c>
      <c r="B87" s="10" t="s">
        <v>8</v>
      </c>
      <c r="C87" s="10" t="s">
        <v>9</v>
      </c>
      <c r="D87" s="10" t="s">
        <v>93</v>
      </c>
      <c r="E87" s="10" t="str">
        <f>"644020240514101515178339"</f>
        <v>644020240514101515178339</v>
      </c>
      <c r="F87" s="9"/>
    </row>
    <row r="88" s="2" customFormat="1" ht="30" customHeight="1" spans="1:6">
      <c r="A88" s="9">
        <v>85</v>
      </c>
      <c r="B88" s="10" t="s">
        <v>8</v>
      </c>
      <c r="C88" s="10" t="s">
        <v>9</v>
      </c>
      <c r="D88" s="10" t="s">
        <v>94</v>
      </c>
      <c r="E88" s="10" t="str">
        <f>"644020240514101720178357"</f>
        <v>644020240514101720178357</v>
      </c>
      <c r="F88" s="9"/>
    </row>
    <row r="89" s="2" customFormat="1" ht="30" customHeight="1" spans="1:6">
      <c r="A89" s="9">
        <v>86</v>
      </c>
      <c r="B89" s="10" t="s">
        <v>8</v>
      </c>
      <c r="C89" s="10" t="s">
        <v>9</v>
      </c>
      <c r="D89" s="10" t="s">
        <v>95</v>
      </c>
      <c r="E89" s="10" t="str">
        <f>"644020240512111404168795"</f>
        <v>644020240512111404168795</v>
      </c>
      <c r="F89" s="9"/>
    </row>
    <row r="90" s="2" customFormat="1" ht="30" customHeight="1" spans="1:6">
      <c r="A90" s="9">
        <v>87</v>
      </c>
      <c r="B90" s="10" t="s">
        <v>8</v>
      </c>
      <c r="C90" s="10" t="s">
        <v>9</v>
      </c>
      <c r="D90" s="10" t="s">
        <v>96</v>
      </c>
      <c r="E90" s="10" t="str">
        <f>"644020240514111547178658"</f>
        <v>644020240514111547178658</v>
      </c>
      <c r="F90" s="9"/>
    </row>
    <row r="91" s="2" customFormat="1" ht="30" customHeight="1" spans="1:6">
      <c r="A91" s="9">
        <v>88</v>
      </c>
      <c r="B91" s="10" t="s">
        <v>8</v>
      </c>
      <c r="C91" s="10" t="s">
        <v>9</v>
      </c>
      <c r="D91" s="10" t="s">
        <v>97</v>
      </c>
      <c r="E91" s="10" t="str">
        <f>"644020240514123853178913"</f>
        <v>644020240514123853178913</v>
      </c>
      <c r="F91" s="9"/>
    </row>
    <row r="92" s="2" customFormat="1" ht="30" customHeight="1" spans="1:6">
      <c r="A92" s="9">
        <v>89</v>
      </c>
      <c r="B92" s="10" t="s">
        <v>8</v>
      </c>
      <c r="C92" s="10" t="s">
        <v>9</v>
      </c>
      <c r="D92" s="10" t="s">
        <v>98</v>
      </c>
      <c r="E92" s="10" t="str">
        <f>"644020240512132947169361"</f>
        <v>644020240512132947169361</v>
      </c>
      <c r="F92" s="9"/>
    </row>
    <row r="93" s="2" customFormat="1" ht="30" customHeight="1" spans="1:6">
      <c r="A93" s="9">
        <v>90</v>
      </c>
      <c r="B93" s="10" t="s">
        <v>8</v>
      </c>
      <c r="C93" s="10" t="s">
        <v>9</v>
      </c>
      <c r="D93" s="10" t="s">
        <v>99</v>
      </c>
      <c r="E93" s="10" t="str">
        <f>"644020240514131056178985"</f>
        <v>644020240514131056178985</v>
      </c>
      <c r="F93" s="9"/>
    </row>
    <row r="94" s="2" customFormat="1" ht="30" customHeight="1" spans="1:6">
      <c r="A94" s="9">
        <v>91</v>
      </c>
      <c r="B94" s="10" t="s">
        <v>8</v>
      </c>
      <c r="C94" s="10" t="s">
        <v>9</v>
      </c>
      <c r="D94" s="10" t="s">
        <v>100</v>
      </c>
      <c r="E94" s="10" t="str">
        <f>"644020240513131101174582"</f>
        <v>644020240513131101174582</v>
      </c>
      <c r="F94" s="9"/>
    </row>
    <row r="95" s="2" customFormat="1" ht="30" customHeight="1" spans="1:6">
      <c r="A95" s="9">
        <v>92</v>
      </c>
      <c r="B95" s="10" t="s">
        <v>8</v>
      </c>
      <c r="C95" s="10" t="s">
        <v>9</v>
      </c>
      <c r="D95" s="10" t="s">
        <v>101</v>
      </c>
      <c r="E95" s="10" t="str">
        <f>"644020240514130303178965"</f>
        <v>644020240514130303178965</v>
      </c>
      <c r="F95" s="9"/>
    </row>
    <row r="96" s="2" customFormat="1" ht="30" customHeight="1" spans="1:6">
      <c r="A96" s="9">
        <v>93</v>
      </c>
      <c r="B96" s="10" t="s">
        <v>8</v>
      </c>
      <c r="C96" s="10" t="s">
        <v>9</v>
      </c>
      <c r="D96" s="10" t="s">
        <v>102</v>
      </c>
      <c r="E96" s="10" t="str">
        <f>"644020240514102514178405"</f>
        <v>644020240514102514178405</v>
      </c>
      <c r="F96" s="9"/>
    </row>
    <row r="97" s="2" customFormat="1" ht="30" customHeight="1" spans="1:6">
      <c r="A97" s="9">
        <v>94</v>
      </c>
      <c r="B97" s="10" t="s">
        <v>8</v>
      </c>
      <c r="C97" s="10" t="s">
        <v>9</v>
      </c>
      <c r="D97" s="10" t="s">
        <v>103</v>
      </c>
      <c r="E97" s="10" t="str">
        <f>"644020240513174847176305"</f>
        <v>644020240513174847176305</v>
      </c>
      <c r="F97" s="9"/>
    </row>
    <row r="98" s="2" customFormat="1" ht="30" customHeight="1" spans="1:6">
      <c r="A98" s="9">
        <v>95</v>
      </c>
      <c r="B98" s="10" t="s">
        <v>8</v>
      </c>
      <c r="C98" s="10" t="s">
        <v>9</v>
      </c>
      <c r="D98" s="10" t="s">
        <v>104</v>
      </c>
      <c r="E98" s="10" t="str">
        <f>"644020240513144739175091"</f>
        <v>644020240513144739175091</v>
      </c>
      <c r="F98" s="9"/>
    </row>
    <row r="99" s="2" customFormat="1" ht="30" customHeight="1" spans="1:6">
      <c r="A99" s="9">
        <v>96</v>
      </c>
      <c r="B99" s="10" t="s">
        <v>8</v>
      </c>
      <c r="C99" s="10" t="s">
        <v>9</v>
      </c>
      <c r="D99" s="10" t="s">
        <v>105</v>
      </c>
      <c r="E99" s="10" t="str">
        <f>"644020240512144250169580"</f>
        <v>644020240512144250169580</v>
      </c>
      <c r="F99" s="9"/>
    </row>
    <row r="100" s="2" customFormat="1" ht="30" customHeight="1" spans="1:6">
      <c r="A100" s="9">
        <v>97</v>
      </c>
      <c r="B100" s="10" t="s">
        <v>8</v>
      </c>
      <c r="C100" s="10" t="s">
        <v>9</v>
      </c>
      <c r="D100" s="10" t="s">
        <v>106</v>
      </c>
      <c r="E100" s="10" t="str">
        <f>"644020240514172254179693"</f>
        <v>644020240514172254179693</v>
      </c>
      <c r="F100" s="9"/>
    </row>
    <row r="101" s="2" customFormat="1" ht="30" customHeight="1" spans="1:6">
      <c r="A101" s="9">
        <v>98</v>
      </c>
      <c r="B101" s="10" t="s">
        <v>8</v>
      </c>
      <c r="C101" s="10" t="s">
        <v>9</v>
      </c>
      <c r="D101" s="10" t="s">
        <v>107</v>
      </c>
      <c r="E101" s="10" t="str">
        <f>"644020240514175534179764"</f>
        <v>644020240514175534179764</v>
      </c>
      <c r="F101" s="9"/>
    </row>
    <row r="102" s="2" customFormat="1" ht="30" customHeight="1" spans="1:6">
      <c r="A102" s="9">
        <v>99</v>
      </c>
      <c r="B102" s="10" t="s">
        <v>8</v>
      </c>
      <c r="C102" s="10" t="s">
        <v>9</v>
      </c>
      <c r="D102" s="10" t="s">
        <v>108</v>
      </c>
      <c r="E102" s="10" t="str">
        <f>"644020240513152950175463"</f>
        <v>644020240513152950175463</v>
      </c>
      <c r="F102" s="9"/>
    </row>
    <row r="103" s="2" customFormat="1" ht="30" customHeight="1" spans="1:6">
      <c r="A103" s="9">
        <v>100</v>
      </c>
      <c r="B103" s="10" t="s">
        <v>8</v>
      </c>
      <c r="C103" s="10" t="s">
        <v>9</v>
      </c>
      <c r="D103" s="10" t="s">
        <v>109</v>
      </c>
      <c r="E103" s="10" t="str">
        <f>"644020240514190322179894"</f>
        <v>644020240514190322179894</v>
      </c>
      <c r="F103" s="9"/>
    </row>
    <row r="104" s="2" customFormat="1" ht="30" customHeight="1" spans="1:6">
      <c r="A104" s="9">
        <v>101</v>
      </c>
      <c r="B104" s="10" t="s">
        <v>8</v>
      </c>
      <c r="C104" s="10" t="s">
        <v>9</v>
      </c>
      <c r="D104" s="10" t="s">
        <v>110</v>
      </c>
      <c r="E104" s="10" t="str">
        <f>"644020240513175723176330"</f>
        <v>644020240513175723176330</v>
      </c>
      <c r="F104" s="9"/>
    </row>
    <row r="105" s="2" customFormat="1" ht="30" customHeight="1" spans="1:6">
      <c r="A105" s="9">
        <v>102</v>
      </c>
      <c r="B105" s="10" t="s">
        <v>8</v>
      </c>
      <c r="C105" s="10" t="s">
        <v>9</v>
      </c>
      <c r="D105" s="10" t="s">
        <v>111</v>
      </c>
      <c r="E105" s="10" t="str">
        <f>"644020240514185436179879"</f>
        <v>644020240514185436179879</v>
      </c>
      <c r="F105" s="9"/>
    </row>
    <row r="106" s="2" customFormat="1" ht="30" customHeight="1" spans="1:6">
      <c r="A106" s="9">
        <v>103</v>
      </c>
      <c r="B106" s="10" t="s">
        <v>8</v>
      </c>
      <c r="C106" s="10" t="s">
        <v>9</v>
      </c>
      <c r="D106" s="10" t="s">
        <v>112</v>
      </c>
      <c r="E106" s="10" t="str">
        <f>"644020240514185048179871"</f>
        <v>644020240514185048179871</v>
      </c>
      <c r="F106" s="9"/>
    </row>
    <row r="107" s="2" customFormat="1" ht="30" customHeight="1" spans="1:6">
      <c r="A107" s="9">
        <v>104</v>
      </c>
      <c r="B107" s="10" t="s">
        <v>8</v>
      </c>
      <c r="C107" s="10" t="s">
        <v>9</v>
      </c>
      <c r="D107" s="10" t="s">
        <v>113</v>
      </c>
      <c r="E107" s="10" t="str">
        <f>"644020240512203217170847"</f>
        <v>644020240512203217170847</v>
      </c>
      <c r="F107" s="9"/>
    </row>
    <row r="108" s="2" customFormat="1" ht="30" customHeight="1" spans="1:6">
      <c r="A108" s="9">
        <v>105</v>
      </c>
      <c r="B108" s="10" t="s">
        <v>8</v>
      </c>
      <c r="C108" s="10" t="s">
        <v>9</v>
      </c>
      <c r="D108" s="10" t="s">
        <v>114</v>
      </c>
      <c r="E108" s="10" t="str">
        <f>"644020240514212130180177"</f>
        <v>644020240514212130180177</v>
      </c>
      <c r="F108" s="9"/>
    </row>
    <row r="109" s="2" customFormat="1" ht="30" customHeight="1" spans="1:6">
      <c r="A109" s="9">
        <v>106</v>
      </c>
      <c r="B109" s="10" t="s">
        <v>8</v>
      </c>
      <c r="C109" s="10" t="s">
        <v>9</v>
      </c>
      <c r="D109" s="10" t="s">
        <v>115</v>
      </c>
      <c r="E109" s="10" t="str">
        <f>"644020240514205141180081"</f>
        <v>644020240514205141180081</v>
      </c>
      <c r="F109" s="9"/>
    </row>
    <row r="110" s="2" customFormat="1" ht="30" customHeight="1" spans="1:6">
      <c r="A110" s="9">
        <v>107</v>
      </c>
      <c r="B110" s="10" t="s">
        <v>8</v>
      </c>
      <c r="C110" s="10" t="s">
        <v>9</v>
      </c>
      <c r="D110" s="10" t="s">
        <v>116</v>
      </c>
      <c r="E110" s="10" t="str">
        <f>"644020240514191520179915"</f>
        <v>644020240514191520179915</v>
      </c>
      <c r="F110" s="9"/>
    </row>
    <row r="111" s="2" customFormat="1" ht="30" customHeight="1" spans="1:6">
      <c r="A111" s="9">
        <v>108</v>
      </c>
      <c r="B111" s="10" t="s">
        <v>8</v>
      </c>
      <c r="C111" s="10" t="s">
        <v>9</v>
      </c>
      <c r="D111" s="10" t="s">
        <v>117</v>
      </c>
      <c r="E111" s="10" t="str">
        <f>"644020240514131648178999"</f>
        <v>644020240514131648178999</v>
      </c>
      <c r="F111" s="9"/>
    </row>
    <row r="112" s="2" customFormat="1" ht="30" customHeight="1" spans="1:6">
      <c r="A112" s="9">
        <v>109</v>
      </c>
      <c r="B112" s="10" t="s">
        <v>8</v>
      </c>
      <c r="C112" s="10" t="s">
        <v>9</v>
      </c>
      <c r="D112" s="10" t="s">
        <v>118</v>
      </c>
      <c r="E112" s="10" t="str">
        <f>"644020240514221836180346"</f>
        <v>644020240514221836180346</v>
      </c>
      <c r="F112" s="9"/>
    </row>
    <row r="113" s="2" customFormat="1" ht="30" customHeight="1" spans="1:6">
      <c r="A113" s="9">
        <v>110</v>
      </c>
      <c r="B113" s="10" t="s">
        <v>8</v>
      </c>
      <c r="C113" s="10" t="s">
        <v>9</v>
      </c>
      <c r="D113" s="10" t="s">
        <v>119</v>
      </c>
      <c r="E113" s="10" t="str">
        <f>"644020240514223221180385"</f>
        <v>644020240514223221180385</v>
      </c>
      <c r="F113" s="9"/>
    </row>
    <row r="114" s="2" customFormat="1" ht="30" customHeight="1" spans="1:6">
      <c r="A114" s="9">
        <v>111</v>
      </c>
      <c r="B114" s="10" t="s">
        <v>8</v>
      </c>
      <c r="C114" s="10" t="s">
        <v>9</v>
      </c>
      <c r="D114" s="10" t="s">
        <v>120</v>
      </c>
      <c r="E114" s="10" t="str">
        <f>"644020240514085741177942"</f>
        <v>644020240514085741177942</v>
      </c>
      <c r="F114" s="9"/>
    </row>
    <row r="115" s="2" customFormat="1" ht="30" customHeight="1" spans="1:6">
      <c r="A115" s="9">
        <v>112</v>
      </c>
      <c r="B115" s="10" t="s">
        <v>8</v>
      </c>
      <c r="C115" s="10" t="s">
        <v>9</v>
      </c>
      <c r="D115" s="10" t="s">
        <v>121</v>
      </c>
      <c r="E115" s="10" t="str">
        <f>"644020240513170335176106"</f>
        <v>644020240513170335176106</v>
      </c>
      <c r="F115" s="9"/>
    </row>
    <row r="116" s="2" customFormat="1" ht="30" customHeight="1" spans="1:6">
      <c r="A116" s="9">
        <v>113</v>
      </c>
      <c r="B116" s="10" t="s">
        <v>8</v>
      </c>
      <c r="C116" s="10" t="s">
        <v>9</v>
      </c>
      <c r="D116" s="10" t="s">
        <v>122</v>
      </c>
      <c r="E116" s="10" t="str">
        <f>"644020240513230555177516"</f>
        <v>644020240513230555177516</v>
      </c>
      <c r="F116" s="9"/>
    </row>
    <row r="117" s="2" customFormat="1" ht="30" customHeight="1" spans="1:6">
      <c r="A117" s="9">
        <v>114</v>
      </c>
      <c r="B117" s="10" t="s">
        <v>8</v>
      </c>
      <c r="C117" s="10" t="s">
        <v>9</v>
      </c>
      <c r="D117" s="10" t="s">
        <v>123</v>
      </c>
      <c r="E117" s="10" t="str">
        <f>"644020240514220043180294"</f>
        <v>644020240514220043180294</v>
      </c>
      <c r="F117" s="9"/>
    </row>
    <row r="118" s="2" customFormat="1" ht="30" customHeight="1" spans="1:6">
      <c r="A118" s="9">
        <v>115</v>
      </c>
      <c r="B118" s="10" t="s">
        <v>8</v>
      </c>
      <c r="C118" s="10" t="s">
        <v>9</v>
      </c>
      <c r="D118" s="10" t="s">
        <v>124</v>
      </c>
      <c r="E118" s="10" t="str">
        <f>"644020240515082829180692"</f>
        <v>644020240515082829180692</v>
      </c>
      <c r="F118" s="9"/>
    </row>
    <row r="119" s="2" customFormat="1" ht="30" customHeight="1" spans="1:6">
      <c r="A119" s="9">
        <v>116</v>
      </c>
      <c r="B119" s="10" t="s">
        <v>8</v>
      </c>
      <c r="C119" s="10" t="s">
        <v>9</v>
      </c>
      <c r="D119" s="10" t="s">
        <v>125</v>
      </c>
      <c r="E119" s="10" t="str">
        <f>"644020240514100215178279"</f>
        <v>644020240514100215178279</v>
      </c>
      <c r="F119" s="9"/>
    </row>
    <row r="120" s="2" customFormat="1" ht="30" customHeight="1" spans="1:6">
      <c r="A120" s="9">
        <v>117</v>
      </c>
      <c r="B120" s="10" t="s">
        <v>8</v>
      </c>
      <c r="C120" s="10" t="s">
        <v>9</v>
      </c>
      <c r="D120" s="10" t="s">
        <v>126</v>
      </c>
      <c r="E120" s="10" t="str">
        <f>"644020240515085116180739"</f>
        <v>644020240515085116180739</v>
      </c>
      <c r="F120" s="9"/>
    </row>
    <row r="121" s="2" customFormat="1" ht="30" customHeight="1" spans="1:6">
      <c r="A121" s="9">
        <v>118</v>
      </c>
      <c r="B121" s="10" t="s">
        <v>8</v>
      </c>
      <c r="C121" s="10" t="s">
        <v>9</v>
      </c>
      <c r="D121" s="10" t="s">
        <v>127</v>
      </c>
      <c r="E121" s="10" t="str">
        <f>"644020240515091009180795"</f>
        <v>644020240515091009180795</v>
      </c>
      <c r="F121" s="9"/>
    </row>
    <row r="122" s="2" customFormat="1" ht="30" customHeight="1" spans="1:6">
      <c r="A122" s="9">
        <v>119</v>
      </c>
      <c r="B122" s="10" t="s">
        <v>8</v>
      </c>
      <c r="C122" s="10" t="s">
        <v>9</v>
      </c>
      <c r="D122" s="10" t="s">
        <v>128</v>
      </c>
      <c r="E122" s="10" t="str">
        <f>"644020240514230924180484"</f>
        <v>644020240514230924180484</v>
      </c>
      <c r="F122" s="9"/>
    </row>
    <row r="123" s="2" customFormat="1" ht="30" customHeight="1" spans="1:6">
      <c r="A123" s="9">
        <v>120</v>
      </c>
      <c r="B123" s="10" t="s">
        <v>8</v>
      </c>
      <c r="C123" s="10" t="s">
        <v>9</v>
      </c>
      <c r="D123" s="10" t="s">
        <v>129</v>
      </c>
      <c r="E123" s="10" t="str">
        <f>"644020240513211815177039"</f>
        <v>644020240513211815177039</v>
      </c>
      <c r="F123" s="9"/>
    </row>
    <row r="124" s="2" customFormat="1" ht="30" customHeight="1" spans="1:6">
      <c r="A124" s="9">
        <v>121</v>
      </c>
      <c r="B124" s="10" t="s">
        <v>8</v>
      </c>
      <c r="C124" s="10" t="s">
        <v>9</v>
      </c>
      <c r="D124" s="10" t="s">
        <v>130</v>
      </c>
      <c r="E124" s="10" t="str">
        <f>"644020240515093103180861"</f>
        <v>644020240515093103180861</v>
      </c>
      <c r="F124" s="9"/>
    </row>
    <row r="125" s="2" customFormat="1" ht="30" customHeight="1" spans="1:6">
      <c r="A125" s="9">
        <v>122</v>
      </c>
      <c r="B125" s="10" t="s">
        <v>8</v>
      </c>
      <c r="C125" s="10" t="s">
        <v>9</v>
      </c>
      <c r="D125" s="10" t="s">
        <v>131</v>
      </c>
      <c r="E125" s="10" t="str">
        <f>"644020240515101421180988"</f>
        <v>644020240515101421180988</v>
      </c>
      <c r="F125" s="9"/>
    </row>
    <row r="126" s="2" customFormat="1" ht="30" customHeight="1" spans="1:6">
      <c r="A126" s="9">
        <v>123</v>
      </c>
      <c r="B126" s="10" t="s">
        <v>8</v>
      </c>
      <c r="C126" s="10" t="s">
        <v>9</v>
      </c>
      <c r="D126" s="10" t="s">
        <v>132</v>
      </c>
      <c r="E126" s="10" t="str">
        <f>"644020240515110441181164"</f>
        <v>644020240515110441181164</v>
      </c>
      <c r="F126" s="9"/>
    </row>
    <row r="127" s="2" customFormat="1" ht="30" customHeight="1" spans="1:6">
      <c r="A127" s="9">
        <v>124</v>
      </c>
      <c r="B127" s="10" t="s">
        <v>8</v>
      </c>
      <c r="C127" s="10" t="s">
        <v>9</v>
      </c>
      <c r="D127" s="10" t="s">
        <v>133</v>
      </c>
      <c r="E127" s="10" t="str">
        <f>"644020240513221809177315"</f>
        <v>644020240513221809177315</v>
      </c>
      <c r="F127" s="9"/>
    </row>
    <row r="128" s="2" customFormat="1" ht="30" customHeight="1" spans="1:6">
      <c r="A128" s="9">
        <v>125</v>
      </c>
      <c r="B128" s="10" t="s">
        <v>8</v>
      </c>
      <c r="C128" s="10" t="s">
        <v>9</v>
      </c>
      <c r="D128" s="10" t="s">
        <v>134</v>
      </c>
      <c r="E128" s="10" t="str">
        <f>"644020240512120705169041"</f>
        <v>644020240512120705169041</v>
      </c>
      <c r="F128" s="9"/>
    </row>
    <row r="129" s="2" customFormat="1" ht="30" customHeight="1" spans="1:6">
      <c r="A129" s="9">
        <v>126</v>
      </c>
      <c r="B129" s="10" t="s">
        <v>8</v>
      </c>
      <c r="C129" s="10" t="s">
        <v>9</v>
      </c>
      <c r="D129" s="10" t="s">
        <v>135</v>
      </c>
      <c r="E129" s="10" t="str">
        <f>"644020240515105716181137"</f>
        <v>644020240515105716181137</v>
      </c>
      <c r="F129" s="9"/>
    </row>
    <row r="130" s="2" customFormat="1" ht="30" customHeight="1" spans="1:6">
      <c r="A130" s="9">
        <v>127</v>
      </c>
      <c r="B130" s="10" t="s">
        <v>8</v>
      </c>
      <c r="C130" s="10" t="s">
        <v>9</v>
      </c>
      <c r="D130" s="10" t="s">
        <v>136</v>
      </c>
      <c r="E130" s="10" t="str">
        <f>"644020240515132934181465"</f>
        <v>644020240515132934181465</v>
      </c>
      <c r="F130" s="9"/>
    </row>
    <row r="131" s="2" customFormat="1" ht="30" customHeight="1" spans="1:6">
      <c r="A131" s="9">
        <v>128</v>
      </c>
      <c r="B131" s="10" t="s">
        <v>8</v>
      </c>
      <c r="C131" s="10" t="s">
        <v>9</v>
      </c>
      <c r="D131" s="10" t="s">
        <v>137</v>
      </c>
      <c r="E131" s="10" t="str">
        <f>"644020240514231548180492"</f>
        <v>644020240514231548180492</v>
      </c>
      <c r="F131" s="9"/>
    </row>
    <row r="132" s="2" customFormat="1" ht="30" customHeight="1" spans="1:6">
      <c r="A132" s="9">
        <v>129</v>
      </c>
      <c r="B132" s="10" t="s">
        <v>8</v>
      </c>
      <c r="C132" s="10" t="s">
        <v>9</v>
      </c>
      <c r="D132" s="10" t="s">
        <v>138</v>
      </c>
      <c r="E132" s="10" t="str">
        <f>"644020240512122241169095"</f>
        <v>644020240512122241169095</v>
      </c>
      <c r="F132" s="9"/>
    </row>
    <row r="133" s="2" customFormat="1" ht="30" customHeight="1" spans="1:6">
      <c r="A133" s="9">
        <v>130</v>
      </c>
      <c r="B133" s="10" t="s">
        <v>8</v>
      </c>
      <c r="C133" s="10" t="s">
        <v>9</v>
      </c>
      <c r="D133" s="10" t="s">
        <v>139</v>
      </c>
      <c r="E133" s="10" t="str">
        <f>"644020240514142013179116"</f>
        <v>644020240514142013179116</v>
      </c>
      <c r="F133" s="9"/>
    </row>
    <row r="134" s="2" customFormat="1" ht="30" customHeight="1" spans="1:6">
      <c r="A134" s="9">
        <v>131</v>
      </c>
      <c r="B134" s="10" t="s">
        <v>8</v>
      </c>
      <c r="C134" s="10" t="s">
        <v>9</v>
      </c>
      <c r="D134" s="10" t="s">
        <v>140</v>
      </c>
      <c r="E134" s="10" t="str">
        <f>"644020240515085915180758"</f>
        <v>644020240515085915180758</v>
      </c>
      <c r="F134" s="9"/>
    </row>
    <row r="135" s="2" customFormat="1" ht="30" customHeight="1" spans="1:6">
      <c r="A135" s="9">
        <v>132</v>
      </c>
      <c r="B135" s="10" t="s">
        <v>8</v>
      </c>
      <c r="C135" s="10" t="s">
        <v>9</v>
      </c>
      <c r="D135" s="10" t="s">
        <v>141</v>
      </c>
      <c r="E135" s="10" t="str">
        <f>"644020240513152717175436"</f>
        <v>644020240513152717175436</v>
      </c>
      <c r="F135" s="9"/>
    </row>
    <row r="136" s="2" customFormat="1" ht="30" customHeight="1" spans="1:6">
      <c r="A136" s="9">
        <v>133</v>
      </c>
      <c r="B136" s="10" t="s">
        <v>8</v>
      </c>
      <c r="C136" s="10" t="s">
        <v>9</v>
      </c>
      <c r="D136" s="10" t="s">
        <v>142</v>
      </c>
      <c r="E136" s="10" t="str">
        <f>"644020240515155641181772"</f>
        <v>644020240515155641181772</v>
      </c>
      <c r="F136" s="9"/>
    </row>
    <row r="137" s="2" customFormat="1" ht="30" customHeight="1" spans="1:6">
      <c r="A137" s="9">
        <v>134</v>
      </c>
      <c r="B137" s="10" t="s">
        <v>8</v>
      </c>
      <c r="C137" s="10" t="s">
        <v>9</v>
      </c>
      <c r="D137" s="10" t="s">
        <v>143</v>
      </c>
      <c r="E137" s="10" t="str">
        <f>"644020240515152951181693"</f>
        <v>644020240515152951181693</v>
      </c>
      <c r="F137" s="9"/>
    </row>
    <row r="138" s="2" customFormat="1" ht="30" customHeight="1" spans="1:6">
      <c r="A138" s="9">
        <v>135</v>
      </c>
      <c r="B138" s="10" t="s">
        <v>8</v>
      </c>
      <c r="C138" s="10" t="s">
        <v>9</v>
      </c>
      <c r="D138" s="10" t="s">
        <v>144</v>
      </c>
      <c r="E138" s="10" t="str">
        <f>"644020240513135922174787"</f>
        <v>644020240513135922174787</v>
      </c>
      <c r="F138" s="9"/>
    </row>
    <row r="139" s="2" customFormat="1" ht="30" customHeight="1" spans="1:6">
      <c r="A139" s="9">
        <v>136</v>
      </c>
      <c r="B139" s="10" t="s">
        <v>8</v>
      </c>
      <c r="C139" s="10" t="s">
        <v>9</v>
      </c>
      <c r="D139" s="10" t="s">
        <v>145</v>
      </c>
      <c r="E139" s="10" t="str">
        <f>"644020240513183705176443"</f>
        <v>644020240513183705176443</v>
      </c>
      <c r="F139" s="9"/>
    </row>
    <row r="140" s="2" customFormat="1" ht="30" customHeight="1" spans="1:6">
      <c r="A140" s="9">
        <v>137</v>
      </c>
      <c r="B140" s="10" t="s">
        <v>8</v>
      </c>
      <c r="C140" s="10" t="s">
        <v>9</v>
      </c>
      <c r="D140" s="10" t="s">
        <v>146</v>
      </c>
      <c r="E140" s="10" t="str">
        <f>"644020240515091201180801"</f>
        <v>644020240515091201180801</v>
      </c>
      <c r="F140" s="9"/>
    </row>
    <row r="141" s="2" customFormat="1" ht="30" customHeight="1" spans="1:6">
      <c r="A141" s="9">
        <v>138</v>
      </c>
      <c r="B141" s="10" t="s">
        <v>8</v>
      </c>
      <c r="C141" s="10" t="s">
        <v>9</v>
      </c>
      <c r="D141" s="10" t="s">
        <v>147</v>
      </c>
      <c r="E141" s="10" t="str">
        <f>"644020240515084129180720"</f>
        <v>644020240515084129180720</v>
      </c>
      <c r="F141" s="9"/>
    </row>
    <row r="142" s="2" customFormat="1" ht="30" customHeight="1" spans="1:6">
      <c r="A142" s="9">
        <v>139</v>
      </c>
      <c r="B142" s="10" t="s">
        <v>8</v>
      </c>
      <c r="C142" s="10" t="s">
        <v>9</v>
      </c>
      <c r="D142" s="10" t="s">
        <v>148</v>
      </c>
      <c r="E142" s="10" t="str">
        <f>"644020240515184447182117"</f>
        <v>644020240515184447182117</v>
      </c>
      <c r="F142" s="9"/>
    </row>
    <row r="143" s="2" customFormat="1" ht="30" customHeight="1" spans="1:6">
      <c r="A143" s="9">
        <v>140</v>
      </c>
      <c r="B143" s="10" t="s">
        <v>8</v>
      </c>
      <c r="C143" s="10" t="s">
        <v>9</v>
      </c>
      <c r="D143" s="10" t="s">
        <v>149</v>
      </c>
      <c r="E143" s="10" t="str">
        <f>"644020240515191443182147"</f>
        <v>644020240515191443182147</v>
      </c>
      <c r="F143" s="9"/>
    </row>
    <row r="144" s="2" customFormat="1" ht="30" customHeight="1" spans="1:6">
      <c r="A144" s="9">
        <v>141</v>
      </c>
      <c r="B144" s="10" t="s">
        <v>8</v>
      </c>
      <c r="C144" s="10" t="s">
        <v>9</v>
      </c>
      <c r="D144" s="10" t="s">
        <v>150</v>
      </c>
      <c r="E144" s="10" t="str">
        <f>"644020240513122130174258"</f>
        <v>644020240513122130174258</v>
      </c>
      <c r="F144" s="9"/>
    </row>
    <row r="145" s="2" customFormat="1" ht="30" customHeight="1" spans="1:6">
      <c r="A145" s="9">
        <v>142</v>
      </c>
      <c r="B145" s="10" t="s">
        <v>8</v>
      </c>
      <c r="C145" s="10" t="s">
        <v>9</v>
      </c>
      <c r="D145" s="10" t="s">
        <v>151</v>
      </c>
      <c r="E145" s="10" t="str">
        <f>"644020240512132004169319"</f>
        <v>644020240512132004169319</v>
      </c>
      <c r="F145" s="9"/>
    </row>
    <row r="146" s="2" customFormat="1" ht="30" customHeight="1" spans="1:6">
      <c r="A146" s="9">
        <v>143</v>
      </c>
      <c r="B146" s="10" t="s">
        <v>8</v>
      </c>
      <c r="C146" s="10" t="s">
        <v>9</v>
      </c>
      <c r="D146" s="10" t="s">
        <v>152</v>
      </c>
      <c r="E146" s="10" t="str">
        <f>"644020240515195306182207"</f>
        <v>644020240515195306182207</v>
      </c>
      <c r="F146" s="9"/>
    </row>
    <row r="147" s="2" customFormat="1" ht="30" customHeight="1" spans="1:6">
      <c r="A147" s="9">
        <v>144</v>
      </c>
      <c r="B147" s="10" t="s">
        <v>8</v>
      </c>
      <c r="C147" s="10" t="s">
        <v>9</v>
      </c>
      <c r="D147" s="10" t="s">
        <v>153</v>
      </c>
      <c r="E147" s="10" t="str">
        <f>"644020240515185606182130"</f>
        <v>644020240515185606182130</v>
      </c>
      <c r="F147" s="9"/>
    </row>
    <row r="148" s="2" customFormat="1" ht="30" customHeight="1" spans="1:6">
      <c r="A148" s="9">
        <v>145</v>
      </c>
      <c r="B148" s="10" t="s">
        <v>8</v>
      </c>
      <c r="C148" s="10" t="s">
        <v>9</v>
      </c>
      <c r="D148" s="10" t="s">
        <v>154</v>
      </c>
      <c r="E148" s="10" t="str">
        <f>"644020240515115757181317"</f>
        <v>644020240515115757181317</v>
      </c>
      <c r="F148" s="9"/>
    </row>
    <row r="149" s="2" customFormat="1" ht="30" customHeight="1" spans="1:6">
      <c r="A149" s="9">
        <v>146</v>
      </c>
      <c r="B149" s="10" t="s">
        <v>8</v>
      </c>
      <c r="C149" s="10" t="s">
        <v>9</v>
      </c>
      <c r="D149" s="10" t="s">
        <v>155</v>
      </c>
      <c r="E149" s="10" t="str">
        <f>"644020240514163111179503"</f>
        <v>644020240514163111179503</v>
      </c>
      <c r="F149" s="9"/>
    </row>
    <row r="150" s="2" customFormat="1" ht="30" customHeight="1" spans="1:6">
      <c r="A150" s="9">
        <v>147</v>
      </c>
      <c r="B150" s="10" t="s">
        <v>8</v>
      </c>
      <c r="C150" s="10" t="s">
        <v>9</v>
      </c>
      <c r="D150" s="10" t="s">
        <v>156</v>
      </c>
      <c r="E150" s="10" t="str">
        <f>"644020240513222052177329"</f>
        <v>644020240513222052177329</v>
      </c>
      <c r="F150" s="9"/>
    </row>
    <row r="151" s="2" customFormat="1" ht="30" customHeight="1" spans="1:6">
      <c r="A151" s="9">
        <v>148</v>
      </c>
      <c r="B151" s="10" t="s">
        <v>8</v>
      </c>
      <c r="C151" s="10" t="s">
        <v>9</v>
      </c>
      <c r="D151" s="10" t="s">
        <v>157</v>
      </c>
      <c r="E151" s="10" t="str">
        <f>"644020240515221359182376"</f>
        <v>644020240515221359182376</v>
      </c>
      <c r="F151" s="9"/>
    </row>
    <row r="152" s="2" customFormat="1" ht="30" customHeight="1" spans="1:6">
      <c r="A152" s="9">
        <v>149</v>
      </c>
      <c r="B152" s="10" t="s">
        <v>8</v>
      </c>
      <c r="C152" s="10" t="s">
        <v>9</v>
      </c>
      <c r="D152" s="10" t="s">
        <v>158</v>
      </c>
      <c r="E152" s="10" t="str">
        <f>"644020240515220624182351"</f>
        <v>644020240515220624182351</v>
      </c>
      <c r="F152" s="9"/>
    </row>
    <row r="153" s="2" customFormat="1" ht="30" customHeight="1" spans="1:6">
      <c r="A153" s="9">
        <v>150</v>
      </c>
      <c r="B153" s="10" t="s">
        <v>8</v>
      </c>
      <c r="C153" s="10" t="s">
        <v>9</v>
      </c>
      <c r="D153" s="10" t="s">
        <v>159</v>
      </c>
      <c r="E153" s="10" t="str">
        <f>"644020240515220517182348"</f>
        <v>644020240515220517182348</v>
      </c>
      <c r="F153" s="9"/>
    </row>
    <row r="154" s="2" customFormat="1" ht="30" customHeight="1" spans="1:6">
      <c r="A154" s="9">
        <v>151</v>
      </c>
      <c r="B154" s="10" t="s">
        <v>8</v>
      </c>
      <c r="C154" s="10" t="s">
        <v>9</v>
      </c>
      <c r="D154" s="10" t="s">
        <v>160</v>
      </c>
      <c r="E154" s="10" t="str">
        <f>"644020240515234026182597"</f>
        <v>644020240515234026182597</v>
      </c>
      <c r="F154" s="9"/>
    </row>
    <row r="155" s="2" customFormat="1" ht="30" customHeight="1" spans="1:6">
      <c r="A155" s="9">
        <v>152</v>
      </c>
      <c r="B155" s="10" t="s">
        <v>8</v>
      </c>
      <c r="C155" s="10" t="s">
        <v>9</v>
      </c>
      <c r="D155" s="10" t="s">
        <v>161</v>
      </c>
      <c r="E155" s="10" t="str">
        <f>"644020240514173958179731"</f>
        <v>644020240514173958179731</v>
      </c>
      <c r="F155" s="9"/>
    </row>
    <row r="156" s="2" customFormat="1" ht="30" customHeight="1" spans="1:6">
      <c r="A156" s="9">
        <v>153</v>
      </c>
      <c r="B156" s="10" t="s">
        <v>8</v>
      </c>
      <c r="C156" s="10" t="s">
        <v>9</v>
      </c>
      <c r="D156" s="10" t="s">
        <v>162</v>
      </c>
      <c r="E156" s="10" t="str">
        <f>"644020240516075454182729"</f>
        <v>644020240516075454182729</v>
      </c>
      <c r="F156" s="9"/>
    </row>
    <row r="157" s="2" customFormat="1" ht="30" customHeight="1" spans="1:6">
      <c r="A157" s="9">
        <v>154</v>
      </c>
      <c r="B157" s="10" t="s">
        <v>8</v>
      </c>
      <c r="C157" s="10" t="s">
        <v>9</v>
      </c>
      <c r="D157" s="10" t="s">
        <v>163</v>
      </c>
      <c r="E157" s="10" t="str">
        <f>"644020240516085952182809"</f>
        <v>644020240516085952182809</v>
      </c>
      <c r="F157" s="9"/>
    </row>
    <row r="158" s="2" customFormat="1" ht="30" customHeight="1" spans="1:6">
      <c r="A158" s="9">
        <v>155</v>
      </c>
      <c r="B158" s="10" t="s">
        <v>8</v>
      </c>
      <c r="C158" s="10" t="s">
        <v>9</v>
      </c>
      <c r="D158" s="10" t="s">
        <v>164</v>
      </c>
      <c r="E158" s="10" t="str">
        <f>"644020240516092325182858"</f>
        <v>644020240516092325182858</v>
      </c>
      <c r="F158" s="9"/>
    </row>
    <row r="159" s="2" customFormat="1" ht="30" customHeight="1" spans="1:6">
      <c r="A159" s="9">
        <v>156</v>
      </c>
      <c r="B159" s="10" t="s">
        <v>8</v>
      </c>
      <c r="C159" s="10" t="s">
        <v>9</v>
      </c>
      <c r="D159" s="10" t="s">
        <v>165</v>
      </c>
      <c r="E159" s="10" t="str">
        <f>"644020240514091624178048"</f>
        <v>644020240514091624178048</v>
      </c>
      <c r="F159" s="9"/>
    </row>
    <row r="160" s="2" customFormat="1" ht="30" customHeight="1" spans="1:6">
      <c r="A160" s="9">
        <v>157</v>
      </c>
      <c r="B160" s="10" t="s">
        <v>8</v>
      </c>
      <c r="C160" s="10" t="s">
        <v>9</v>
      </c>
      <c r="D160" s="10" t="s">
        <v>166</v>
      </c>
      <c r="E160" s="10" t="str">
        <f>"644020240515144325181582"</f>
        <v>644020240515144325181582</v>
      </c>
      <c r="F160" s="9"/>
    </row>
    <row r="161" s="2" customFormat="1" ht="30" customHeight="1" spans="1:6">
      <c r="A161" s="9">
        <v>158</v>
      </c>
      <c r="B161" s="10" t="s">
        <v>8</v>
      </c>
      <c r="C161" s="10" t="s">
        <v>9</v>
      </c>
      <c r="D161" s="10" t="s">
        <v>167</v>
      </c>
      <c r="E161" s="10" t="str">
        <f>"644020240516091050182827"</f>
        <v>644020240516091050182827</v>
      </c>
      <c r="F161" s="9"/>
    </row>
    <row r="162" s="2" customFormat="1" ht="30" customHeight="1" spans="1:6">
      <c r="A162" s="9">
        <v>159</v>
      </c>
      <c r="B162" s="10" t="s">
        <v>8</v>
      </c>
      <c r="C162" s="10" t="s">
        <v>9</v>
      </c>
      <c r="D162" s="10" t="s">
        <v>168</v>
      </c>
      <c r="E162" s="10" t="str">
        <f>"644020240516091559182841"</f>
        <v>644020240516091559182841</v>
      </c>
      <c r="F162" s="9"/>
    </row>
    <row r="163" s="2" customFormat="1" ht="30" customHeight="1" spans="1:6">
      <c r="A163" s="9">
        <v>160</v>
      </c>
      <c r="B163" s="10" t="s">
        <v>8</v>
      </c>
      <c r="C163" s="10" t="s">
        <v>9</v>
      </c>
      <c r="D163" s="10" t="s">
        <v>169</v>
      </c>
      <c r="E163" s="10" t="str">
        <f>"644020240514153433179317"</f>
        <v>644020240514153433179317</v>
      </c>
      <c r="F163" s="9"/>
    </row>
    <row r="164" s="2" customFormat="1" ht="30" customHeight="1" spans="1:6">
      <c r="A164" s="9">
        <v>161</v>
      </c>
      <c r="B164" s="10" t="s">
        <v>8</v>
      </c>
      <c r="C164" s="10" t="s">
        <v>9</v>
      </c>
      <c r="D164" s="10" t="s">
        <v>170</v>
      </c>
      <c r="E164" s="10" t="str">
        <f>"644020240513103427173463"</f>
        <v>644020240513103427173463</v>
      </c>
      <c r="F164" s="9"/>
    </row>
    <row r="165" s="2" customFormat="1" ht="30" customHeight="1" spans="1:6">
      <c r="A165" s="9">
        <v>162</v>
      </c>
      <c r="B165" s="10" t="s">
        <v>8</v>
      </c>
      <c r="C165" s="10" t="s">
        <v>9</v>
      </c>
      <c r="D165" s="10" t="s">
        <v>171</v>
      </c>
      <c r="E165" s="10" t="str">
        <f>"644020240515231111182536"</f>
        <v>644020240515231111182536</v>
      </c>
      <c r="F165" s="9"/>
    </row>
    <row r="166" s="2" customFormat="1" ht="30" customHeight="1" spans="1:6">
      <c r="A166" s="9">
        <v>163</v>
      </c>
      <c r="B166" s="10" t="s">
        <v>8</v>
      </c>
      <c r="C166" s="10" t="s">
        <v>9</v>
      </c>
      <c r="D166" s="10" t="s">
        <v>172</v>
      </c>
      <c r="E166" s="10" t="str">
        <f>"644020240516110029183104"</f>
        <v>644020240516110029183104</v>
      </c>
      <c r="F166" s="9"/>
    </row>
    <row r="167" s="2" customFormat="1" ht="30" customHeight="1" spans="1:6">
      <c r="A167" s="9">
        <v>164</v>
      </c>
      <c r="B167" s="10" t="s">
        <v>8</v>
      </c>
      <c r="C167" s="10" t="s">
        <v>9</v>
      </c>
      <c r="D167" s="10" t="s">
        <v>173</v>
      </c>
      <c r="E167" s="10" t="str">
        <f>"644020240515131153181438"</f>
        <v>644020240515131153181438</v>
      </c>
      <c r="F167" s="9"/>
    </row>
    <row r="168" s="2" customFormat="1" ht="30" customHeight="1" spans="1:6">
      <c r="A168" s="9">
        <v>165</v>
      </c>
      <c r="B168" s="10" t="s">
        <v>8</v>
      </c>
      <c r="C168" s="10" t="s">
        <v>9</v>
      </c>
      <c r="D168" s="10" t="s">
        <v>174</v>
      </c>
      <c r="E168" s="10" t="str">
        <f>"644020240516123348183288"</f>
        <v>644020240516123348183288</v>
      </c>
      <c r="F168" s="9"/>
    </row>
    <row r="169" s="2" customFormat="1" ht="30" customHeight="1" spans="1:6">
      <c r="A169" s="9">
        <v>166</v>
      </c>
      <c r="B169" s="10" t="s">
        <v>8</v>
      </c>
      <c r="C169" s="10" t="s">
        <v>9</v>
      </c>
      <c r="D169" s="10" t="s">
        <v>175</v>
      </c>
      <c r="E169" s="10" t="str">
        <f>"644020240513232240177561"</f>
        <v>644020240513232240177561</v>
      </c>
      <c r="F169" s="9"/>
    </row>
    <row r="170" s="2" customFormat="1" ht="30" customHeight="1" spans="1:6">
      <c r="A170" s="9">
        <v>167</v>
      </c>
      <c r="B170" s="10" t="s">
        <v>8</v>
      </c>
      <c r="C170" s="10" t="s">
        <v>9</v>
      </c>
      <c r="D170" s="10" t="s">
        <v>176</v>
      </c>
      <c r="E170" s="10" t="str">
        <f>"644020240516130430183338"</f>
        <v>644020240516130430183338</v>
      </c>
      <c r="F170" s="9"/>
    </row>
    <row r="171" s="2" customFormat="1" ht="30" customHeight="1" spans="1:6">
      <c r="A171" s="9">
        <v>168</v>
      </c>
      <c r="B171" s="10" t="s">
        <v>8</v>
      </c>
      <c r="C171" s="10" t="s">
        <v>9</v>
      </c>
      <c r="D171" s="10" t="s">
        <v>177</v>
      </c>
      <c r="E171" s="10" t="str">
        <f>"644020240516134815183395"</f>
        <v>644020240516134815183395</v>
      </c>
      <c r="F171" s="9"/>
    </row>
    <row r="172" s="2" customFormat="1" ht="30" customHeight="1" spans="1:6">
      <c r="A172" s="9">
        <v>169</v>
      </c>
      <c r="B172" s="10" t="s">
        <v>8</v>
      </c>
      <c r="C172" s="10" t="s">
        <v>9</v>
      </c>
      <c r="D172" s="10" t="s">
        <v>178</v>
      </c>
      <c r="E172" s="10" t="str">
        <f>"644020240516095538182937"</f>
        <v>644020240516095538182937</v>
      </c>
      <c r="F172" s="9"/>
    </row>
    <row r="173" s="2" customFormat="1" ht="30" customHeight="1" spans="1:6">
      <c r="A173" s="9">
        <v>170</v>
      </c>
      <c r="B173" s="10" t="s">
        <v>8</v>
      </c>
      <c r="C173" s="10" t="s">
        <v>9</v>
      </c>
      <c r="D173" s="10" t="s">
        <v>179</v>
      </c>
      <c r="E173" s="10" t="str">
        <f>"644020240516004847182669"</f>
        <v>644020240516004847182669</v>
      </c>
      <c r="F173" s="9"/>
    </row>
    <row r="174" s="2" customFormat="1" ht="30" customHeight="1" spans="1:6">
      <c r="A174" s="9">
        <v>171</v>
      </c>
      <c r="B174" s="10" t="s">
        <v>8</v>
      </c>
      <c r="C174" s="10" t="s">
        <v>9</v>
      </c>
      <c r="D174" s="10" t="s">
        <v>180</v>
      </c>
      <c r="E174" s="10" t="str">
        <f>"644020240516150524183492"</f>
        <v>644020240516150524183492</v>
      </c>
      <c r="F174" s="9"/>
    </row>
    <row r="175" s="2" customFormat="1" ht="30" customHeight="1" spans="1:6">
      <c r="A175" s="9">
        <v>172</v>
      </c>
      <c r="B175" s="10" t="s">
        <v>8</v>
      </c>
      <c r="C175" s="10" t="s">
        <v>9</v>
      </c>
      <c r="D175" s="10" t="s">
        <v>181</v>
      </c>
      <c r="E175" s="10" t="str">
        <f>"644020240516155423183595"</f>
        <v>644020240516155423183595</v>
      </c>
      <c r="F175" s="9"/>
    </row>
    <row r="176" s="2" customFormat="1" ht="30" customHeight="1" spans="1:6">
      <c r="A176" s="9">
        <v>173</v>
      </c>
      <c r="B176" s="10" t="s">
        <v>8</v>
      </c>
      <c r="C176" s="10" t="s">
        <v>9</v>
      </c>
      <c r="D176" s="10" t="s">
        <v>182</v>
      </c>
      <c r="E176" s="10" t="str">
        <f>"644020240516173322183836"</f>
        <v>644020240516173322183836</v>
      </c>
      <c r="F176" s="9"/>
    </row>
    <row r="177" s="2" customFormat="1" ht="30" customHeight="1" spans="1:6">
      <c r="A177" s="9">
        <v>174</v>
      </c>
      <c r="B177" s="10" t="s">
        <v>8</v>
      </c>
      <c r="C177" s="10" t="s">
        <v>9</v>
      </c>
      <c r="D177" s="10" t="s">
        <v>183</v>
      </c>
      <c r="E177" s="10" t="str">
        <f>"644020240516032558182705"</f>
        <v>644020240516032558182705</v>
      </c>
      <c r="F177" s="9"/>
    </row>
    <row r="178" s="2" customFormat="1" ht="30" customHeight="1" spans="1:6">
      <c r="A178" s="9">
        <v>175</v>
      </c>
      <c r="B178" s="10" t="s">
        <v>8</v>
      </c>
      <c r="C178" s="10" t="s">
        <v>9</v>
      </c>
      <c r="D178" s="10" t="s">
        <v>184</v>
      </c>
      <c r="E178" s="10" t="str">
        <f>"644020240516154115183569"</f>
        <v>644020240516154115183569</v>
      </c>
      <c r="F178" s="9"/>
    </row>
    <row r="179" s="2" customFormat="1" ht="30" customHeight="1" spans="1:6">
      <c r="A179" s="9">
        <v>176</v>
      </c>
      <c r="B179" s="10" t="s">
        <v>8</v>
      </c>
      <c r="C179" s="10" t="s">
        <v>9</v>
      </c>
      <c r="D179" s="10" t="s">
        <v>185</v>
      </c>
      <c r="E179" s="10" t="str">
        <f>"644020240515090919180792"</f>
        <v>644020240515090919180792</v>
      </c>
      <c r="F179" s="9"/>
    </row>
    <row r="180" s="2" customFormat="1" ht="30" customHeight="1" spans="1:6">
      <c r="A180" s="9">
        <v>177</v>
      </c>
      <c r="B180" s="10" t="s">
        <v>8</v>
      </c>
      <c r="C180" s="10" t="s">
        <v>9</v>
      </c>
      <c r="D180" s="10" t="s">
        <v>186</v>
      </c>
      <c r="E180" s="10" t="str">
        <f>"644020240515090828180786"</f>
        <v>644020240515090828180786</v>
      </c>
      <c r="F180" s="9"/>
    </row>
    <row r="181" s="2" customFormat="1" ht="30" customHeight="1" spans="1:6">
      <c r="A181" s="9">
        <v>178</v>
      </c>
      <c r="B181" s="10" t="s">
        <v>8</v>
      </c>
      <c r="C181" s="10" t="s">
        <v>9</v>
      </c>
      <c r="D181" s="10" t="s">
        <v>187</v>
      </c>
      <c r="E181" s="10" t="str">
        <f>"644020240513201455176776"</f>
        <v>644020240513201455176776</v>
      </c>
      <c r="F181" s="9"/>
    </row>
    <row r="182" s="2" customFormat="1" ht="30" customHeight="1" spans="1:6">
      <c r="A182" s="9">
        <v>179</v>
      </c>
      <c r="B182" s="10" t="s">
        <v>8</v>
      </c>
      <c r="C182" s="10" t="s">
        <v>9</v>
      </c>
      <c r="D182" s="10" t="s">
        <v>188</v>
      </c>
      <c r="E182" s="10" t="str">
        <f>"644020240516184002183951"</f>
        <v>644020240516184002183951</v>
      </c>
      <c r="F182" s="9"/>
    </row>
    <row r="183" s="2" customFormat="1" ht="30" customHeight="1" spans="1:6">
      <c r="A183" s="9">
        <v>180</v>
      </c>
      <c r="B183" s="10" t="s">
        <v>8</v>
      </c>
      <c r="C183" s="10" t="s">
        <v>9</v>
      </c>
      <c r="D183" s="10" t="s">
        <v>189</v>
      </c>
      <c r="E183" s="10" t="str">
        <f>"644020240516192718184012"</f>
        <v>644020240516192718184012</v>
      </c>
      <c r="F183" s="9"/>
    </row>
    <row r="184" s="2" customFormat="1" ht="30" customHeight="1" spans="1:6">
      <c r="A184" s="9">
        <v>181</v>
      </c>
      <c r="B184" s="10" t="s">
        <v>8</v>
      </c>
      <c r="C184" s="10" t="s">
        <v>9</v>
      </c>
      <c r="D184" s="10" t="s">
        <v>190</v>
      </c>
      <c r="E184" s="10" t="str">
        <f>"644020240516162711183686"</f>
        <v>644020240516162711183686</v>
      </c>
      <c r="F184" s="9"/>
    </row>
    <row r="185" s="2" customFormat="1" ht="30" customHeight="1" spans="1:6">
      <c r="A185" s="9">
        <v>182</v>
      </c>
      <c r="B185" s="10" t="s">
        <v>8</v>
      </c>
      <c r="C185" s="10" t="s">
        <v>9</v>
      </c>
      <c r="D185" s="10" t="s">
        <v>191</v>
      </c>
      <c r="E185" s="10" t="str">
        <f>"644020240516104640183063"</f>
        <v>644020240516104640183063</v>
      </c>
      <c r="F185" s="9"/>
    </row>
    <row r="186" s="2" customFormat="1" ht="30" customHeight="1" spans="1:6">
      <c r="A186" s="9">
        <v>183</v>
      </c>
      <c r="B186" s="10" t="s">
        <v>8</v>
      </c>
      <c r="C186" s="10" t="s">
        <v>9</v>
      </c>
      <c r="D186" s="10" t="s">
        <v>192</v>
      </c>
      <c r="E186" s="10" t="str">
        <f>"644020240516212737184128"</f>
        <v>644020240516212737184128</v>
      </c>
      <c r="F186" s="9"/>
    </row>
    <row r="187" s="2" customFormat="1" ht="30" customHeight="1" spans="1:6">
      <c r="A187" s="9">
        <v>184</v>
      </c>
      <c r="B187" s="10" t="s">
        <v>8</v>
      </c>
      <c r="C187" s="10" t="s">
        <v>9</v>
      </c>
      <c r="D187" s="10" t="s">
        <v>193</v>
      </c>
      <c r="E187" s="10" t="str">
        <f>"644020240514022700177752"</f>
        <v>644020240514022700177752</v>
      </c>
      <c r="F187" s="9"/>
    </row>
    <row r="188" s="2" customFormat="1" ht="30" customHeight="1" spans="1:6">
      <c r="A188" s="9">
        <v>185</v>
      </c>
      <c r="B188" s="10" t="s">
        <v>8</v>
      </c>
      <c r="C188" s="10" t="s">
        <v>9</v>
      </c>
      <c r="D188" s="10" t="s">
        <v>194</v>
      </c>
      <c r="E188" s="10" t="str">
        <f>"644020240515120945181341"</f>
        <v>644020240515120945181341</v>
      </c>
      <c r="F188" s="9"/>
    </row>
    <row r="189" s="2" customFormat="1" ht="30" customHeight="1" spans="1:6">
      <c r="A189" s="9">
        <v>186</v>
      </c>
      <c r="B189" s="10" t="s">
        <v>8</v>
      </c>
      <c r="C189" s="10" t="s">
        <v>9</v>
      </c>
      <c r="D189" s="10" t="s">
        <v>195</v>
      </c>
      <c r="E189" s="10" t="str">
        <f>"644020240515235152182613"</f>
        <v>644020240515235152182613</v>
      </c>
      <c r="F189" s="9"/>
    </row>
    <row r="190" s="2" customFormat="1" ht="30" customHeight="1" spans="1:6">
      <c r="A190" s="9">
        <v>187</v>
      </c>
      <c r="B190" s="10" t="s">
        <v>8</v>
      </c>
      <c r="C190" s="10" t="s">
        <v>9</v>
      </c>
      <c r="D190" s="10" t="s">
        <v>196</v>
      </c>
      <c r="E190" s="10" t="str">
        <f>"644020240516230347184364"</f>
        <v>644020240516230347184364</v>
      </c>
      <c r="F190" s="9"/>
    </row>
    <row r="191" s="2" customFormat="1" ht="30" customHeight="1" spans="1:6">
      <c r="A191" s="9">
        <v>188</v>
      </c>
      <c r="B191" s="10" t="s">
        <v>8</v>
      </c>
      <c r="C191" s="10" t="s">
        <v>9</v>
      </c>
      <c r="D191" s="10" t="s">
        <v>197</v>
      </c>
      <c r="E191" s="10" t="str">
        <f>"644020240516131157183351"</f>
        <v>644020240516131157183351</v>
      </c>
      <c r="F191" s="9"/>
    </row>
    <row r="192" s="2" customFormat="1" ht="30" customHeight="1" spans="1:6">
      <c r="A192" s="9">
        <v>189</v>
      </c>
      <c r="B192" s="10" t="s">
        <v>8</v>
      </c>
      <c r="C192" s="10" t="s">
        <v>9</v>
      </c>
      <c r="D192" s="10" t="s">
        <v>198</v>
      </c>
      <c r="E192" s="10" t="str">
        <f>"644020240516235449184451"</f>
        <v>644020240516235449184451</v>
      </c>
      <c r="F192" s="9"/>
    </row>
    <row r="193" s="2" customFormat="1" ht="30" customHeight="1" spans="1:6">
      <c r="A193" s="9">
        <v>190</v>
      </c>
      <c r="B193" s="10" t="s">
        <v>8</v>
      </c>
      <c r="C193" s="10" t="s">
        <v>9</v>
      </c>
      <c r="D193" s="10" t="s">
        <v>199</v>
      </c>
      <c r="E193" s="10" t="str">
        <f>"644020240517002828184494"</f>
        <v>644020240517002828184494</v>
      </c>
      <c r="F193" s="9"/>
    </row>
    <row r="194" s="2" customFormat="1" ht="30" customHeight="1" spans="1:6">
      <c r="A194" s="9">
        <v>191</v>
      </c>
      <c r="B194" s="10" t="s">
        <v>8</v>
      </c>
      <c r="C194" s="10" t="s">
        <v>9</v>
      </c>
      <c r="D194" s="10" t="s">
        <v>200</v>
      </c>
      <c r="E194" s="10" t="str">
        <f>"644020240517064606184564"</f>
        <v>644020240517064606184564</v>
      </c>
      <c r="F194" s="9"/>
    </row>
    <row r="195" s="2" customFormat="1" ht="30" customHeight="1" spans="1:6">
      <c r="A195" s="9">
        <v>192</v>
      </c>
      <c r="B195" s="10" t="s">
        <v>8</v>
      </c>
      <c r="C195" s="10" t="s">
        <v>9</v>
      </c>
      <c r="D195" s="10" t="s">
        <v>201</v>
      </c>
      <c r="E195" s="10" t="str">
        <f>"644020240516153907183565"</f>
        <v>644020240516153907183565</v>
      </c>
      <c r="F195" s="9"/>
    </row>
    <row r="196" s="2" customFormat="1" ht="30" customHeight="1" spans="1:6">
      <c r="A196" s="9">
        <v>193</v>
      </c>
      <c r="B196" s="10" t="s">
        <v>8</v>
      </c>
      <c r="C196" s="10" t="s">
        <v>9</v>
      </c>
      <c r="D196" s="10" t="s">
        <v>202</v>
      </c>
      <c r="E196" s="10" t="str">
        <f>"644020240517074927184588"</f>
        <v>644020240517074927184588</v>
      </c>
      <c r="F196" s="9"/>
    </row>
    <row r="197" s="2" customFormat="1" ht="30" customHeight="1" spans="1:6">
      <c r="A197" s="9">
        <v>194</v>
      </c>
      <c r="B197" s="10" t="s">
        <v>8</v>
      </c>
      <c r="C197" s="10" t="s">
        <v>9</v>
      </c>
      <c r="D197" s="10" t="s">
        <v>203</v>
      </c>
      <c r="E197" s="10" t="str">
        <f>"644020240516100554182966"</f>
        <v>644020240516100554182966</v>
      </c>
      <c r="F197" s="9"/>
    </row>
    <row r="198" s="2" customFormat="1" ht="30" customHeight="1" spans="1:6">
      <c r="A198" s="9">
        <v>195</v>
      </c>
      <c r="B198" s="10" t="s">
        <v>8</v>
      </c>
      <c r="C198" s="10" t="s">
        <v>9</v>
      </c>
      <c r="D198" s="10" t="s">
        <v>204</v>
      </c>
      <c r="E198" s="10" t="str">
        <f>"644020240517004453184508"</f>
        <v>644020240517004453184508</v>
      </c>
      <c r="F198" s="9"/>
    </row>
    <row r="199" s="2" customFormat="1" ht="30" customHeight="1" spans="1:6">
      <c r="A199" s="9">
        <v>196</v>
      </c>
      <c r="B199" s="10" t="s">
        <v>8</v>
      </c>
      <c r="C199" s="10" t="s">
        <v>9</v>
      </c>
      <c r="D199" s="10" t="s">
        <v>205</v>
      </c>
      <c r="E199" s="10" t="str">
        <f>"644020240513144831175097"</f>
        <v>644020240513144831175097</v>
      </c>
      <c r="F199" s="9"/>
    </row>
    <row r="200" s="2" customFormat="1" ht="30" customHeight="1" spans="1:6">
      <c r="A200" s="9">
        <v>197</v>
      </c>
      <c r="B200" s="10" t="s">
        <v>8</v>
      </c>
      <c r="C200" s="10" t="s">
        <v>9</v>
      </c>
      <c r="D200" s="10" t="s">
        <v>206</v>
      </c>
      <c r="E200" s="10" t="str">
        <f>"644020240517101224184842"</f>
        <v>644020240517101224184842</v>
      </c>
      <c r="F200" s="9"/>
    </row>
    <row r="201" s="2" customFormat="1" ht="30" customHeight="1" spans="1:6">
      <c r="A201" s="9">
        <v>198</v>
      </c>
      <c r="B201" s="10" t="s">
        <v>8</v>
      </c>
      <c r="C201" s="10" t="s">
        <v>9</v>
      </c>
      <c r="D201" s="10" t="s">
        <v>207</v>
      </c>
      <c r="E201" s="10" t="str">
        <f>"644020240517120724185092"</f>
        <v>644020240517120724185092</v>
      </c>
      <c r="F201" s="9"/>
    </row>
    <row r="202" s="2" customFormat="1" ht="30" customHeight="1" spans="1:6">
      <c r="A202" s="9">
        <v>199</v>
      </c>
      <c r="B202" s="10" t="s">
        <v>8</v>
      </c>
      <c r="C202" s="10" t="s">
        <v>9</v>
      </c>
      <c r="D202" s="10" t="s">
        <v>208</v>
      </c>
      <c r="E202" s="10" t="str">
        <f>"644020240516174258183857"</f>
        <v>644020240516174258183857</v>
      </c>
      <c r="F202" s="9"/>
    </row>
    <row r="203" s="2" customFormat="1" ht="30" customHeight="1" spans="1:6">
      <c r="A203" s="9">
        <v>200</v>
      </c>
      <c r="B203" s="10" t="s">
        <v>8</v>
      </c>
      <c r="C203" s="10" t="s">
        <v>9</v>
      </c>
      <c r="D203" s="10" t="s">
        <v>209</v>
      </c>
      <c r="E203" s="10" t="str">
        <f>"644020240515221034182366"</f>
        <v>644020240515221034182366</v>
      </c>
      <c r="F203" s="9"/>
    </row>
    <row r="204" s="2" customFormat="1" ht="30" customHeight="1" spans="1:6">
      <c r="A204" s="9">
        <v>201</v>
      </c>
      <c r="B204" s="10" t="s">
        <v>8</v>
      </c>
      <c r="C204" s="10" t="s">
        <v>9</v>
      </c>
      <c r="D204" s="10" t="s">
        <v>210</v>
      </c>
      <c r="E204" s="10" t="str">
        <f>"644020240517133139185263"</f>
        <v>644020240517133139185263</v>
      </c>
      <c r="F204" s="9"/>
    </row>
    <row r="205" s="2" customFormat="1" ht="30" customHeight="1" spans="1:6">
      <c r="A205" s="9">
        <v>202</v>
      </c>
      <c r="B205" s="10" t="s">
        <v>8</v>
      </c>
      <c r="C205" s="10" t="s">
        <v>9</v>
      </c>
      <c r="D205" s="10" t="s">
        <v>211</v>
      </c>
      <c r="E205" s="10" t="str">
        <f>"644020240517135458185303"</f>
        <v>644020240517135458185303</v>
      </c>
      <c r="F205" s="9"/>
    </row>
    <row r="206" s="2" customFormat="1" ht="30" customHeight="1" spans="1:6">
      <c r="A206" s="9">
        <v>203</v>
      </c>
      <c r="B206" s="10" t="s">
        <v>8</v>
      </c>
      <c r="C206" s="10" t="s">
        <v>9</v>
      </c>
      <c r="D206" s="10" t="s">
        <v>212</v>
      </c>
      <c r="E206" s="10" t="str">
        <f>"644020240517101006184833"</f>
        <v>644020240517101006184833</v>
      </c>
      <c r="F206" s="9"/>
    </row>
    <row r="207" s="2" customFormat="1" ht="30" customHeight="1" spans="1:6">
      <c r="A207" s="9">
        <v>204</v>
      </c>
      <c r="B207" s="10" t="s">
        <v>8</v>
      </c>
      <c r="C207" s="10" t="s">
        <v>9</v>
      </c>
      <c r="D207" s="10" t="s">
        <v>213</v>
      </c>
      <c r="E207" s="10" t="str">
        <f>"644020240516150349183490"</f>
        <v>644020240516150349183490</v>
      </c>
      <c r="F207" s="9"/>
    </row>
    <row r="208" s="2" customFormat="1" ht="30" customHeight="1" spans="1:6">
      <c r="A208" s="9">
        <v>205</v>
      </c>
      <c r="B208" s="10" t="s">
        <v>8</v>
      </c>
      <c r="C208" s="10" t="s">
        <v>9</v>
      </c>
      <c r="D208" s="10" t="s">
        <v>214</v>
      </c>
      <c r="E208" s="10" t="str">
        <f>"644020240515233152182573"</f>
        <v>644020240515233152182573</v>
      </c>
      <c r="F208" s="9"/>
    </row>
    <row r="209" s="2" customFormat="1" ht="30" customHeight="1" spans="1:6">
      <c r="A209" s="9">
        <v>206</v>
      </c>
      <c r="B209" s="10" t="s">
        <v>8</v>
      </c>
      <c r="C209" s="10" t="s">
        <v>9</v>
      </c>
      <c r="D209" s="10" t="s">
        <v>215</v>
      </c>
      <c r="E209" s="10" t="str">
        <f>"644020240514123331178900"</f>
        <v>644020240514123331178900</v>
      </c>
      <c r="F209" s="9"/>
    </row>
    <row r="210" s="2" customFormat="1" ht="30" customHeight="1" spans="1:6">
      <c r="A210" s="9">
        <v>207</v>
      </c>
      <c r="B210" s="10" t="s">
        <v>8</v>
      </c>
      <c r="C210" s="10" t="s">
        <v>9</v>
      </c>
      <c r="D210" s="10" t="s">
        <v>216</v>
      </c>
      <c r="E210" s="10" t="str">
        <f>"644020240517113058185024"</f>
        <v>644020240517113058185024</v>
      </c>
      <c r="F210" s="9"/>
    </row>
    <row r="211" s="2" customFormat="1" ht="30" customHeight="1" spans="1:6">
      <c r="A211" s="9">
        <v>208</v>
      </c>
      <c r="B211" s="10" t="s">
        <v>8</v>
      </c>
      <c r="C211" s="10" t="s">
        <v>9</v>
      </c>
      <c r="D211" s="10" t="s">
        <v>217</v>
      </c>
      <c r="E211" s="10" t="str">
        <f>"644020240517151233185453"</f>
        <v>644020240517151233185453</v>
      </c>
      <c r="F211" s="9"/>
    </row>
    <row r="212" s="2" customFormat="1" ht="30" customHeight="1" spans="1:6">
      <c r="A212" s="9">
        <v>209</v>
      </c>
      <c r="B212" s="10" t="s">
        <v>8</v>
      </c>
      <c r="C212" s="10" t="s">
        <v>9</v>
      </c>
      <c r="D212" s="10" t="s">
        <v>218</v>
      </c>
      <c r="E212" s="10" t="str">
        <f>"644020240516231730184385"</f>
        <v>644020240516231730184385</v>
      </c>
      <c r="F212" s="9"/>
    </row>
    <row r="213" s="2" customFormat="1" ht="30" customHeight="1" spans="1:6">
      <c r="A213" s="9">
        <v>210</v>
      </c>
      <c r="B213" s="10" t="s">
        <v>8</v>
      </c>
      <c r="C213" s="10" t="s">
        <v>9</v>
      </c>
      <c r="D213" s="10" t="s">
        <v>219</v>
      </c>
      <c r="E213" s="10" t="str">
        <f>"644020240516213304184144"</f>
        <v>644020240516213304184144</v>
      </c>
      <c r="F213" s="9"/>
    </row>
    <row r="214" s="2" customFormat="1" ht="30" customHeight="1" spans="1:6">
      <c r="A214" s="9">
        <v>211</v>
      </c>
      <c r="B214" s="10" t="s">
        <v>8</v>
      </c>
      <c r="C214" s="10" t="s">
        <v>9</v>
      </c>
      <c r="D214" s="10" t="s">
        <v>220</v>
      </c>
      <c r="E214" s="10" t="str">
        <f>"644020240517163400185659"</f>
        <v>644020240517163400185659</v>
      </c>
      <c r="F214" s="9"/>
    </row>
    <row r="215" s="2" customFormat="1" ht="30" customHeight="1" spans="1:6">
      <c r="A215" s="9">
        <v>212</v>
      </c>
      <c r="B215" s="10" t="s">
        <v>8</v>
      </c>
      <c r="C215" s="10" t="s">
        <v>9</v>
      </c>
      <c r="D215" s="10" t="s">
        <v>221</v>
      </c>
      <c r="E215" s="10" t="str">
        <f>"644020240517154625185556"</f>
        <v>644020240517154625185556</v>
      </c>
      <c r="F215" s="9"/>
    </row>
    <row r="216" s="2" customFormat="1" ht="30" customHeight="1" spans="1:6">
      <c r="A216" s="9">
        <v>213</v>
      </c>
      <c r="B216" s="10" t="s">
        <v>8</v>
      </c>
      <c r="C216" s="10" t="s">
        <v>9</v>
      </c>
      <c r="D216" s="10" t="s">
        <v>222</v>
      </c>
      <c r="E216" s="10" t="str">
        <f>"644020240515185359182129"</f>
        <v>644020240515185359182129</v>
      </c>
      <c r="F216" s="9"/>
    </row>
    <row r="217" s="2" customFormat="1" ht="30" customHeight="1" spans="1:6">
      <c r="A217" s="9">
        <v>214</v>
      </c>
      <c r="B217" s="10" t="s">
        <v>8</v>
      </c>
      <c r="C217" s="10" t="s">
        <v>9</v>
      </c>
      <c r="D217" s="10" t="s">
        <v>223</v>
      </c>
      <c r="E217" s="10" t="str">
        <f>"644020240517172301185733"</f>
        <v>644020240517172301185733</v>
      </c>
      <c r="F217" s="9"/>
    </row>
    <row r="218" s="2" customFormat="1" ht="30" customHeight="1" spans="1:6">
      <c r="A218" s="9">
        <v>215</v>
      </c>
      <c r="B218" s="10" t="s">
        <v>8</v>
      </c>
      <c r="C218" s="10" t="s">
        <v>9</v>
      </c>
      <c r="D218" s="10" t="s">
        <v>224</v>
      </c>
      <c r="E218" s="10" t="str">
        <f>"644020240513204135176887"</f>
        <v>644020240513204135176887</v>
      </c>
      <c r="F218" s="9"/>
    </row>
    <row r="219" s="2" customFormat="1" ht="30" customHeight="1" spans="1:6">
      <c r="A219" s="9">
        <v>216</v>
      </c>
      <c r="B219" s="10" t="s">
        <v>8</v>
      </c>
      <c r="C219" s="10" t="s">
        <v>9</v>
      </c>
      <c r="D219" s="10" t="s">
        <v>225</v>
      </c>
      <c r="E219" s="10" t="str">
        <f>"644020240517185625185864"</f>
        <v>644020240517185625185864</v>
      </c>
      <c r="F219" s="9"/>
    </row>
    <row r="220" s="2" customFormat="1" ht="30" customHeight="1" spans="1:6">
      <c r="A220" s="9">
        <v>217</v>
      </c>
      <c r="B220" s="10" t="s">
        <v>8</v>
      </c>
      <c r="C220" s="10" t="s">
        <v>9</v>
      </c>
      <c r="D220" s="10" t="s">
        <v>226</v>
      </c>
      <c r="E220" s="10" t="str">
        <f>"644020240516114356183194"</f>
        <v>644020240516114356183194</v>
      </c>
      <c r="F220" s="9"/>
    </row>
    <row r="221" s="2" customFormat="1" ht="30" customHeight="1" spans="1:6">
      <c r="A221" s="9">
        <v>218</v>
      </c>
      <c r="B221" s="10" t="s">
        <v>8</v>
      </c>
      <c r="C221" s="10" t="s">
        <v>9</v>
      </c>
      <c r="D221" s="10" t="s">
        <v>227</v>
      </c>
      <c r="E221" s="10" t="str">
        <f>"644020240517193135185890"</f>
        <v>644020240517193135185890</v>
      </c>
      <c r="F221" s="9"/>
    </row>
    <row r="222" s="2" customFormat="1" ht="30" customHeight="1" spans="1:6">
      <c r="A222" s="9">
        <v>219</v>
      </c>
      <c r="B222" s="10" t="s">
        <v>8</v>
      </c>
      <c r="C222" s="10" t="s">
        <v>9</v>
      </c>
      <c r="D222" s="10" t="s">
        <v>228</v>
      </c>
      <c r="E222" s="10" t="str">
        <f>"644020240517153618185528"</f>
        <v>644020240517153618185528</v>
      </c>
      <c r="F222" s="9"/>
    </row>
    <row r="223" s="2" customFormat="1" ht="30" customHeight="1" spans="1:6">
      <c r="A223" s="9">
        <v>220</v>
      </c>
      <c r="B223" s="10" t="s">
        <v>8</v>
      </c>
      <c r="C223" s="10" t="s">
        <v>9</v>
      </c>
      <c r="D223" s="10" t="s">
        <v>229</v>
      </c>
      <c r="E223" s="10" t="str">
        <f>"644020240515130550181427"</f>
        <v>644020240515130550181427</v>
      </c>
      <c r="F223" s="9"/>
    </row>
    <row r="224" s="2" customFormat="1" ht="30" customHeight="1" spans="1:6">
      <c r="A224" s="9">
        <v>221</v>
      </c>
      <c r="B224" s="10" t="s">
        <v>8</v>
      </c>
      <c r="C224" s="10" t="s">
        <v>9</v>
      </c>
      <c r="D224" s="10" t="s">
        <v>230</v>
      </c>
      <c r="E224" s="10" t="str">
        <f>"644020240512230252171692"</f>
        <v>644020240512230252171692</v>
      </c>
      <c r="F224" s="9"/>
    </row>
    <row r="225" s="2" customFormat="1" ht="30" customHeight="1" spans="1:6">
      <c r="A225" s="9">
        <v>222</v>
      </c>
      <c r="B225" s="10" t="s">
        <v>8</v>
      </c>
      <c r="C225" s="10" t="s">
        <v>9</v>
      </c>
      <c r="D225" s="10" t="s">
        <v>231</v>
      </c>
      <c r="E225" s="10" t="str">
        <f>"644020240517095004184784"</f>
        <v>644020240517095004184784</v>
      </c>
      <c r="F225" s="9"/>
    </row>
    <row r="226" s="2" customFormat="1" ht="30" customHeight="1" spans="1:6">
      <c r="A226" s="9">
        <v>223</v>
      </c>
      <c r="B226" s="10" t="s">
        <v>8</v>
      </c>
      <c r="C226" s="10" t="s">
        <v>9</v>
      </c>
      <c r="D226" s="10" t="s">
        <v>232</v>
      </c>
      <c r="E226" s="10" t="str">
        <f>"644020240517011848184523"</f>
        <v>644020240517011848184523</v>
      </c>
      <c r="F226" s="9"/>
    </row>
    <row r="227" s="2" customFormat="1" ht="30" customHeight="1" spans="1:6">
      <c r="A227" s="9">
        <v>224</v>
      </c>
      <c r="B227" s="10" t="s">
        <v>8</v>
      </c>
      <c r="C227" s="10" t="s">
        <v>9</v>
      </c>
      <c r="D227" s="10" t="s">
        <v>233</v>
      </c>
      <c r="E227" s="10" t="str">
        <f>"644020240517223234186062"</f>
        <v>644020240517223234186062</v>
      </c>
      <c r="F227" s="9"/>
    </row>
    <row r="228" s="2" customFormat="1" ht="30" customHeight="1" spans="1:6">
      <c r="A228" s="9">
        <v>225</v>
      </c>
      <c r="B228" s="10" t="s">
        <v>8</v>
      </c>
      <c r="C228" s="10" t="s">
        <v>9</v>
      </c>
      <c r="D228" s="10" t="s">
        <v>234</v>
      </c>
      <c r="E228" s="10" t="str">
        <f>"644020240517190951185877"</f>
        <v>644020240517190951185877</v>
      </c>
      <c r="F228" s="9"/>
    </row>
    <row r="229" s="2" customFormat="1" ht="30" customHeight="1" spans="1:6">
      <c r="A229" s="9">
        <v>226</v>
      </c>
      <c r="B229" s="10" t="s">
        <v>8</v>
      </c>
      <c r="C229" s="10" t="s">
        <v>9</v>
      </c>
      <c r="D229" s="10" t="s">
        <v>235</v>
      </c>
      <c r="E229" s="10" t="str">
        <f>"644020240515002157180594"</f>
        <v>644020240515002157180594</v>
      </c>
      <c r="F229" s="9"/>
    </row>
    <row r="230" s="2" customFormat="1" ht="30" customHeight="1" spans="1:6">
      <c r="A230" s="9">
        <v>227</v>
      </c>
      <c r="B230" s="10" t="s">
        <v>8</v>
      </c>
      <c r="C230" s="10" t="s">
        <v>9</v>
      </c>
      <c r="D230" s="10" t="s">
        <v>236</v>
      </c>
      <c r="E230" s="10" t="str">
        <f>"644020240517210437185954"</f>
        <v>644020240517210437185954</v>
      </c>
      <c r="F230" s="9"/>
    </row>
    <row r="231" s="2" customFormat="1" ht="30" customHeight="1" spans="1:6">
      <c r="A231" s="9">
        <v>228</v>
      </c>
      <c r="B231" s="10" t="s">
        <v>8</v>
      </c>
      <c r="C231" s="10" t="s">
        <v>9</v>
      </c>
      <c r="D231" s="10" t="s">
        <v>237</v>
      </c>
      <c r="E231" s="10" t="str">
        <f>"644020240515224343182463"</f>
        <v>644020240515224343182463</v>
      </c>
      <c r="F231" s="9"/>
    </row>
    <row r="232" s="2" customFormat="1" ht="30" customHeight="1" spans="1:6">
      <c r="A232" s="9">
        <v>229</v>
      </c>
      <c r="B232" s="10" t="s">
        <v>8</v>
      </c>
      <c r="C232" s="10" t="s">
        <v>9</v>
      </c>
      <c r="D232" s="10" t="s">
        <v>238</v>
      </c>
      <c r="E232" s="10" t="str">
        <f>"644020240517233255186109"</f>
        <v>644020240517233255186109</v>
      </c>
      <c r="F232" s="9"/>
    </row>
    <row r="233" s="2" customFormat="1" ht="30" customHeight="1" spans="1:6">
      <c r="A233" s="9">
        <v>230</v>
      </c>
      <c r="B233" s="10" t="s">
        <v>8</v>
      </c>
      <c r="C233" s="10" t="s">
        <v>9</v>
      </c>
      <c r="D233" s="10" t="s">
        <v>239</v>
      </c>
      <c r="E233" s="10" t="str">
        <f>"644020240518001118186164"</f>
        <v>644020240518001118186164</v>
      </c>
      <c r="F233" s="9"/>
    </row>
    <row r="234" s="2" customFormat="1" ht="30" customHeight="1" spans="1:6">
      <c r="A234" s="9">
        <v>231</v>
      </c>
      <c r="B234" s="10" t="s">
        <v>8</v>
      </c>
      <c r="C234" s="10" t="s">
        <v>9</v>
      </c>
      <c r="D234" s="10" t="s">
        <v>240</v>
      </c>
      <c r="E234" s="10" t="str">
        <f>"644020240517234556186131"</f>
        <v>644020240517234556186131</v>
      </c>
      <c r="F234" s="9"/>
    </row>
    <row r="235" s="2" customFormat="1" ht="30" customHeight="1" spans="1:6">
      <c r="A235" s="9">
        <v>232</v>
      </c>
      <c r="B235" s="10" t="s">
        <v>8</v>
      </c>
      <c r="C235" s="10" t="s">
        <v>9</v>
      </c>
      <c r="D235" s="10" t="s">
        <v>82</v>
      </c>
      <c r="E235" s="10" t="str">
        <f>"644020240515140339181520"</f>
        <v>644020240515140339181520</v>
      </c>
      <c r="F235" s="9"/>
    </row>
    <row r="236" s="2" customFormat="1" ht="30" customHeight="1" spans="1:6">
      <c r="A236" s="9">
        <v>233</v>
      </c>
      <c r="B236" s="10" t="s">
        <v>8</v>
      </c>
      <c r="C236" s="10" t="s">
        <v>9</v>
      </c>
      <c r="D236" s="10" t="s">
        <v>241</v>
      </c>
      <c r="E236" s="10" t="str">
        <f>"644020240518011118186238"</f>
        <v>644020240518011118186238</v>
      </c>
      <c r="F236" s="9"/>
    </row>
    <row r="237" s="2" customFormat="1" ht="30" customHeight="1" spans="1:6">
      <c r="A237" s="9">
        <v>234</v>
      </c>
      <c r="B237" s="10" t="s">
        <v>8</v>
      </c>
      <c r="C237" s="10" t="s">
        <v>9</v>
      </c>
      <c r="D237" s="10" t="s">
        <v>242</v>
      </c>
      <c r="E237" s="10" t="str">
        <f>"644020240517180304185798"</f>
        <v>644020240517180304185798</v>
      </c>
      <c r="F237" s="9"/>
    </row>
    <row r="238" s="2" customFormat="1" ht="30" customHeight="1" spans="1:6">
      <c r="A238" s="9">
        <v>235</v>
      </c>
      <c r="B238" s="10" t="s">
        <v>8</v>
      </c>
      <c r="C238" s="10" t="s">
        <v>9</v>
      </c>
      <c r="D238" s="10" t="s">
        <v>243</v>
      </c>
      <c r="E238" s="10" t="str">
        <f>"644020240518012759186251"</f>
        <v>644020240518012759186251</v>
      </c>
      <c r="F238" s="9"/>
    </row>
    <row r="239" s="2" customFormat="1" ht="30" customHeight="1" spans="1:6">
      <c r="A239" s="9">
        <v>236</v>
      </c>
      <c r="B239" s="10" t="s">
        <v>8</v>
      </c>
      <c r="C239" s="10" t="s">
        <v>9</v>
      </c>
      <c r="D239" s="10" t="s">
        <v>244</v>
      </c>
      <c r="E239" s="10" t="str">
        <f>"644020240516111557183148"</f>
        <v>644020240516111557183148</v>
      </c>
      <c r="F239" s="9"/>
    </row>
    <row r="240" s="2" customFormat="1" ht="30" customHeight="1" spans="1:6">
      <c r="A240" s="9">
        <v>237</v>
      </c>
      <c r="B240" s="10" t="s">
        <v>8</v>
      </c>
      <c r="C240" s="10" t="s">
        <v>9</v>
      </c>
      <c r="D240" s="10" t="s">
        <v>245</v>
      </c>
      <c r="E240" s="10" t="str">
        <f>"644020240517172615185735"</f>
        <v>644020240517172615185735</v>
      </c>
      <c r="F240" s="9"/>
    </row>
    <row r="241" s="2" customFormat="1" ht="30" customHeight="1" spans="1:6">
      <c r="A241" s="9">
        <v>238</v>
      </c>
      <c r="B241" s="10" t="s">
        <v>8</v>
      </c>
      <c r="C241" s="10" t="s">
        <v>9</v>
      </c>
      <c r="D241" s="10" t="s">
        <v>246</v>
      </c>
      <c r="E241" s="10" t="str">
        <f>"644020240513175819176331"</f>
        <v>644020240513175819176331</v>
      </c>
      <c r="F241" s="9"/>
    </row>
    <row r="242" s="2" customFormat="1" ht="30" customHeight="1" spans="1:6">
      <c r="A242" s="9">
        <v>239</v>
      </c>
      <c r="B242" s="10" t="s">
        <v>8</v>
      </c>
      <c r="C242" s="10" t="s">
        <v>9</v>
      </c>
      <c r="D242" s="10" t="s">
        <v>247</v>
      </c>
      <c r="E242" s="10" t="str">
        <f>"644020240517215308186035"</f>
        <v>644020240517215308186035</v>
      </c>
      <c r="F242" s="9"/>
    </row>
    <row r="243" s="2" customFormat="1" ht="30" customHeight="1" spans="1:6">
      <c r="A243" s="9">
        <v>240</v>
      </c>
      <c r="B243" s="10" t="s">
        <v>8</v>
      </c>
      <c r="C243" s="10" t="s">
        <v>9</v>
      </c>
      <c r="D243" s="10" t="s">
        <v>248</v>
      </c>
      <c r="E243" s="10" t="str">
        <f>"644020240518092703186497"</f>
        <v>644020240518092703186497</v>
      </c>
      <c r="F243" s="9"/>
    </row>
    <row r="244" s="2" customFormat="1" ht="30" customHeight="1" spans="1:6">
      <c r="A244" s="9">
        <v>241</v>
      </c>
      <c r="B244" s="10" t="s">
        <v>8</v>
      </c>
      <c r="C244" s="10" t="s">
        <v>9</v>
      </c>
      <c r="D244" s="10" t="s">
        <v>249</v>
      </c>
      <c r="E244" s="10" t="str">
        <f>"644020240518094923186546"</f>
        <v>644020240518094923186546</v>
      </c>
      <c r="F244" s="9"/>
    </row>
    <row r="245" s="2" customFormat="1" ht="30" customHeight="1" spans="1:6">
      <c r="A245" s="9">
        <v>242</v>
      </c>
      <c r="B245" s="10" t="s">
        <v>8</v>
      </c>
      <c r="C245" s="10" t="s">
        <v>9</v>
      </c>
      <c r="D245" s="10" t="s">
        <v>250</v>
      </c>
      <c r="E245" s="10" t="str">
        <f>"644020240518092951186504"</f>
        <v>644020240518092951186504</v>
      </c>
      <c r="F245" s="9"/>
    </row>
    <row r="246" s="2" customFormat="1" ht="30" customHeight="1" spans="1:6">
      <c r="A246" s="9">
        <v>243</v>
      </c>
      <c r="B246" s="10" t="s">
        <v>8</v>
      </c>
      <c r="C246" s="10" t="s">
        <v>9</v>
      </c>
      <c r="D246" s="10" t="s">
        <v>251</v>
      </c>
      <c r="E246" s="10" t="str">
        <f>"644020240518011656186240"</f>
        <v>644020240518011656186240</v>
      </c>
      <c r="F246" s="9"/>
    </row>
    <row r="247" s="2" customFormat="1" ht="30" customHeight="1" spans="1:6">
      <c r="A247" s="9">
        <v>244</v>
      </c>
      <c r="B247" s="10" t="s">
        <v>8</v>
      </c>
      <c r="C247" s="10" t="s">
        <v>9</v>
      </c>
      <c r="D247" s="10" t="s">
        <v>252</v>
      </c>
      <c r="E247" s="10" t="str">
        <f>"644020240518010039186230"</f>
        <v>644020240518010039186230</v>
      </c>
      <c r="F247" s="9"/>
    </row>
    <row r="248" s="2" customFormat="1" ht="30" customHeight="1" spans="1:6">
      <c r="A248" s="9">
        <v>245</v>
      </c>
      <c r="B248" s="10" t="s">
        <v>8</v>
      </c>
      <c r="C248" s="10" t="s">
        <v>9</v>
      </c>
      <c r="D248" s="10" t="s">
        <v>253</v>
      </c>
      <c r="E248" s="10" t="str">
        <f>"644020240513202628176811"</f>
        <v>644020240513202628176811</v>
      </c>
      <c r="F248" s="9"/>
    </row>
    <row r="249" s="2" customFormat="1" ht="30" customHeight="1" spans="1:6">
      <c r="A249" s="9">
        <v>246</v>
      </c>
      <c r="B249" s="10" t="s">
        <v>8</v>
      </c>
      <c r="C249" s="10" t="s">
        <v>9</v>
      </c>
      <c r="D249" s="10" t="s">
        <v>254</v>
      </c>
      <c r="E249" s="10" t="str">
        <f>"644020240514121229178852"</f>
        <v>644020240514121229178852</v>
      </c>
      <c r="F249" s="9"/>
    </row>
    <row r="250" s="2" customFormat="1" ht="30" customHeight="1" spans="1:6">
      <c r="A250" s="9">
        <v>247</v>
      </c>
      <c r="B250" s="10" t="s">
        <v>8</v>
      </c>
      <c r="C250" s="10" t="s">
        <v>9</v>
      </c>
      <c r="D250" s="10" t="s">
        <v>255</v>
      </c>
      <c r="E250" s="10" t="str">
        <f>"644020240514153615179324"</f>
        <v>644020240514153615179324</v>
      </c>
      <c r="F250" s="9"/>
    </row>
    <row r="251" s="2" customFormat="1" ht="30" customHeight="1" spans="1:6">
      <c r="A251" s="9">
        <v>248</v>
      </c>
      <c r="B251" s="10" t="s">
        <v>8</v>
      </c>
      <c r="C251" s="10" t="s">
        <v>9</v>
      </c>
      <c r="D251" s="10" t="s">
        <v>256</v>
      </c>
      <c r="E251" s="10" t="str">
        <f>"644020240518101840186618"</f>
        <v>644020240518101840186618</v>
      </c>
      <c r="F251" s="9"/>
    </row>
    <row r="252" s="2" customFormat="1" ht="30" customHeight="1" spans="1:6">
      <c r="A252" s="9">
        <v>249</v>
      </c>
      <c r="B252" s="10" t="s">
        <v>8</v>
      </c>
      <c r="C252" s="10" t="s">
        <v>9</v>
      </c>
      <c r="D252" s="10" t="s">
        <v>257</v>
      </c>
      <c r="E252" s="10" t="str">
        <f>"644020240514173338179718"</f>
        <v>644020240514173338179718</v>
      </c>
      <c r="F252" s="9"/>
    </row>
    <row r="253" s="2" customFormat="1" ht="30" customHeight="1" spans="1:6">
      <c r="A253" s="9">
        <v>250</v>
      </c>
      <c r="B253" s="10" t="s">
        <v>8</v>
      </c>
      <c r="C253" s="10" t="s">
        <v>9</v>
      </c>
      <c r="D253" s="10" t="s">
        <v>258</v>
      </c>
      <c r="E253" s="10" t="str">
        <f>"644020240518112015186747"</f>
        <v>644020240518112015186747</v>
      </c>
      <c r="F253" s="9"/>
    </row>
    <row r="254" s="2" customFormat="1" ht="30" customHeight="1" spans="1:6">
      <c r="A254" s="9">
        <v>251</v>
      </c>
      <c r="B254" s="10" t="s">
        <v>259</v>
      </c>
      <c r="C254" s="10" t="s">
        <v>9</v>
      </c>
      <c r="D254" s="10" t="s">
        <v>260</v>
      </c>
      <c r="E254" s="10" t="str">
        <f>"644020240512091140168152"</f>
        <v>644020240512091140168152</v>
      </c>
      <c r="F254" s="9"/>
    </row>
    <row r="255" s="2" customFormat="1" ht="30" customHeight="1" spans="1:6">
      <c r="A255" s="9">
        <v>252</v>
      </c>
      <c r="B255" s="10" t="s">
        <v>259</v>
      </c>
      <c r="C255" s="10" t="s">
        <v>9</v>
      </c>
      <c r="D255" s="10" t="s">
        <v>261</v>
      </c>
      <c r="E255" s="10" t="str">
        <f>"644020240512111940168826"</f>
        <v>644020240512111940168826</v>
      </c>
      <c r="F255" s="9"/>
    </row>
    <row r="256" s="2" customFormat="1" ht="30" customHeight="1" spans="1:6">
      <c r="A256" s="9">
        <v>253</v>
      </c>
      <c r="B256" s="10" t="s">
        <v>259</v>
      </c>
      <c r="C256" s="10" t="s">
        <v>9</v>
      </c>
      <c r="D256" s="10" t="s">
        <v>262</v>
      </c>
      <c r="E256" s="10" t="str">
        <f>"644020240512115900169004"</f>
        <v>644020240512115900169004</v>
      </c>
      <c r="F256" s="9"/>
    </row>
    <row r="257" s="2" customFormat="1" ht="30" customHeight="1" spans="1:6">
      <c r="A257" s="9">
        <v>254</v>
      </c>
      <c r="B257" s="10" t="s">
        <v>259</v>
      </c>
      <c r="C257" s="10" t="s">
        <v>9</v>
      </c>
      <c r="D257" s="10" t="s">
        <v>263</v>
      </c>
      <c r="E257" s="10" t="str">
        <f>"644020240512113055168885"</f>
        <v>644020240512113055168885</v>
      </c>
      <c r="F257" s="9"/>
    </row>
    <row r="258" s="2" customFormat="1" ht="30" customHeight="1" spans="1:6">
      <c r="A258" s="9">
        <v>255</v>
      </c>
      <c r="B258" s="10" t="s">
        <v>259</v>
      </c>
      <c r="C258" s="10" t="s">
        <v>9</v>
      </c>
      <c r="D258" s="10" t="s">
        <v>264</v>
      </c>
      <c r="E258" s="10" t="str">
        <f>"644020240512133149169366"</f>
        <v>644020240512133149169366</v>
      </c>
      <c r="F258" s="9"/>
    </row>
    <row r="259" s="2" customFormat="1" ht="30" customHeight="1" spans="1:6">
      <c r="A259" s="9">
        <v>256</v>
      </c>
      <c r="B259" s="10" t="s">
        <v>259</v>
      </c>
      <c r="C259" s="10" t="s">
        <v>9</v>
      </c>
      <c r="D259" s="10" t="s">
        <v>265</v>
      </c>
      <c r="E259" s="10" t="str">
        <f>"644020240512130216169245"</f>
        <v>644020240512130216169245</v>
      </c>
      <c r="F259" s="9"/>
    </row>
    <row r="260" s="2" customFormat="1" ht="30" customHeight="1" spans="1:6">
      <c r="A260" s="9">
        <v>257</v>
      </c>
      <c r="B260" s="10" t="s">
        <v>259</v>
      </c>
      <c r="C260" s="10" t="s">
        <v>9</v>
      </c>
      <c r="D260" s="10" t="s">
        <v>266</v>
      </c>
      <c r="E260" s="10" t="str">
        <f>"644020240512143546169564"</f>
        <v>644020240512143546169564</v>
      </c>
      <c r="F260" s="9"/>
    </row>
    <row r="261" s="2" customFormat="1" ht="30" customHeight="1" spans="1:6">
      <c r="A261" s="9">
        <v>258</v>
      </c>
      <c r="B261" s="10" t="s">
        <v>259</v>
      </c>
      <c r="C261" s="10" t="s">
        <v>9</v>
      </c>
      <c r="D261" s="10" t="s">
        <v>267</v>
      </c>
      <c r="E261" s="10" t="str">
        <f>"644020240512154346169811"</f>
        <v>644020240512154346169811</v>
      </c>
      <c r="F261" s="9"/>
    </row>
    <row r="262" s="2" customFormat="1" ht="30" customHeight="1" spans="1:6">
      <c r="A262" s="9">
        <v>259</v>
      </c>
      <c r="B262" s="10" t="s">
        <v>259</v>
      </c>
      <c r="C262" s="10" t="s">
        <v>9</v>
      </c>
      <c r="D262" s="10" t="s">
        <v>268</v>
      </c>
      <c r="E262" s="10" t="str">
        <f>"644020240512163350170020"</f>
        <v>644020240512163350170020</v>
      </c>
      <c r="F262" s="9"/>
    </row>
    <row r="263" s="2" customFormat="1" ht="30" customHeight="1" spans="1:6">
      <c r="A263" s="9">
        <v>260</v>
      </c>
      <c r="B263" s="10" t="s">
        <v>259</v>
      </c>
      <c r="C263" s="10" t="s">
        <v>9</v>
      </c>
      <c r="D263" s="10" t="s">
        <v>269</v>
      </c>
      <c r="E263" s="10" t="str">
        <f>"644020240512161141169921"</f>
        <v>644020240512161141169921</v>
      </c>
      <c r="F263" s="9"/>
    </row>
    <row r="264" s="2" customFormat="1" ht="30" customHeight="1" spans="1:6">
      <c r="A264" s="9">
        <v>261</v>
      </c>
      <c r="B264" s="10" t="s">
        <v>259</v>
      </c>
      <c r="C264" s="10" t="s">
        <v>9</v>
      </c>
      <c r="D264" s="10" t="s">
        <v>270</v>
      </c>
      <c r="E264" s="10" t="str">
        <f>"644020240512163036170001"</f>
        <v>644020240512163036170001</v>
      </c>
      <c r="F264" s="9"/>
    </row>
    <row r="265" s="2" customFormat="1" ht="30" customHeight="1" spans="1:6">
      <c r="A265" s="9">
        <v>262</v>
      </c>
      <c r="B265" s="10" t="s">
        <v>259</v>
      </c>
      <c r="C265" s="10" t="s">
        <v>9</v>
      </c>
      <c r="D265" s="10" t="s">
        <v>271</v>
      </c>
      <c r="E265" s="10" t="str">
        <f>"644020240512171420170157"</f>
        <v>644020240512171420170157</v>
      </c>
      <c r="F265" s="9"/>
    </row>
    <row r="266" s="2" customFormat="1" ht="30" customHeight="1" spans="1:6">
      <c r="A266" s="9">
        <v>263</v>
      </c>
      <c r="B266" s="10" t="s">
        <v>259</v>
      </c>
      <c r="C266" s="10" t="s">
        <v>9</v>
      </c>
      <c r="D266" s="10" t="s">
        <v>272</v>
      </c>
      <c r="E266" s="10" t="str">
        <f>"644020240512161159169925"</f>
        <v>644020240512161159169925</v>
      </c>
      <c r="F266" s="9"/>
    </row>
    <row r="267" s="2" customFormat="1" ht="30" customHeight="1" spans="1:6">
      <c r="A267" s="9">
        <v>264</v>
      </c>
      <c r="B267" s="10" t="s">
        <v>259</v>
      </c>
      <c r="C267" s="10" t="s">
        <v>9</v>
      </c>
      <c r="D267" s="10" t="s">
        <v>273</v>
      </c>
      <c r="E267" s="10" t="str">
        <f>"644020240512192736170598"</f>
        <v>644020240512192736170598</v>
      </c>
      <c r="F267" s="9"/>
    </row>
    <row r="268" s="2" customFormat="1" ht="30" customHeight="1" spans="1:6">
      <c r="A268" s="9">
        <v>265</v>
      </c>
      <c r="B268" s="10" t="s">
        <v>259</v>
      </c>
      <c r="C268" s="10" t="s">
        <v>9</v>
      </c>
      <c r="D268" s="10" t="s">
        <v>274</v>
      </c>
      <c r="E268" s="10" t="str">
        <f>"644020240512130117169239"</f>
        <v>644020240512130117169239</v>
      </c>
      <c r="F268" s="9"/>
    </row>
    <row r="269" s="2" customFormat="1" ht="30" customHeight="1" spans="1:6">
      <c r="A269" s="9">
        <v>266</v>
      </c>
      <c r="B269" s="10" t="s">
        <v>259</v>
      </c>
      <c r="C269" s="10" t="s">
        <v>9</v>
      </c>
      <c r="D269" s="10" t="s">
        <v>275</v>
      </c>
      <c r="E269" s="10" t="str">
        <f>"644020240512195949170708"</f>
        <v>644020240512195949170708</v>
      </c>
      <c r="F269" s="9"/>
    </row>
    <row r="270" s="2" customFormat="1" ht="30" customHeight="1" spans="1:6">
      <c r="A270" s="9">
        <v>267</v>
      </c>
      <c r="B270" s="10" t="s">
        <v>259</v>
      </c>
      <c r="C270" s="10" t="s">
        <v>9</v>
      </c>
      <c r="D270" s="10" t="s">
        <v>276</v>
      </c>
      <c r="E270" s="10" t="str">
        <f>"644020240512133410169376"</f>
        <v>644020240512133410169376</v>
      </c>
      <c r="F270" s="9"/>
    </row>
    <row r="271" s="2" customFormat="1" ht="30" customHeight="1" spans="1:6">
      <c r="A271" s="9">
        <v>268</v>
      </c>
      <c r="B271" s="10" t="s">
        <v>259</v>
      </c>
      <c r="C271" s="10" t="s">
        <v>9</v>
      </c>
      <c r="D271" s="10" t="s">
        <v>277</v>
      </c>
      <c r="E271" s="10" t="str">
        <f>"644020240512215935171326"</f>
        <v>644020240512215935171326</v>
      </c>
      <c r="F271" s="9"/>
    </row>
    <row r="272" s="2" customFormat="1" ht="30" customHeight="1" spans="1:6">
      <c r="A272" s="9">
        <v>269</v>
      </c>
      <c r="B272" s="10" t="s">
        <v>259</v>
      </c>
      <c r="C272" s="10" t="s">
        <v>9</v>
      </c>
      <c r="D272" s="10" t="s">
        <v>278</v>
      </c>
      <c r="E272" s="10" t="str">
        <f>"644020240512215619171300"</f>
        <v>644020240512215619171300</v>
      </c>
      <c r="F272" s="9"/>
    </row>
    <row r="273" s="2" customFormat="1" ht="30" customHeight="1" spans="1:6">
      <c r="A273" s="9">
        <v>270</v>
      </c>
      <c r="B273" s="10" t="s">
        <v>259</v>
      </c>
      <c r="C273" s="10" t="s">
        <v>9</v>
      </c>
      <c r="D273" s="10" t="s">
        <v>279</v>
      </c>
      <c r="E273" s="10" t="str">
        <f>"644020240512114338168949"</f>
        <v>644020240512114338168949</v>
      </c>
      <c r="F273" s="9"/>
    </row>
    <row r="274" s="2" customFormat="1" ht="30" customHeight="1" spans="1:6">
      <c r="A274" s="9">
        <v>271</v>
      </c>
      <c r="B274" s="10" t="s">
        <v>259</v>
      </c>
      <c r="C274" s="10" t="s">
        <v>9</v>
      </c>
      <c r="D274" s="10" t="s">
        <v>280</v>
      </c>
      <c r="E274" s="10" t="str">
        <f>"644020240512171724170166"</f>
        <v>644020240512171724170166</v>
      </c>
      <c r="F274" s="9"/>
    </row>
    <row r="275" s="2" customFormat="1" ht="30" customHeight="1" spans="1:6">
      <c r="A275" s="9">
        <v>272</v>
      </c>
      <c r="B275" s="10" t="s">
        <v>259</v>
      </c>
      <c r="C275" s="10" t="s">
        <v>9</v>
      </c>
      <c r="D275" s="10" t="s">
        <v>281</v>
      </c>
      <c r="E275" s="10" t="str">
        <f>"644020240512145545169636"</f>
        <v>644020240512145545169636</v>
      </c>
      <c r="F275" s="9"/>
    </row>
    <row r="276" s="2" customFormat="1" ht="30" customHeight="1" spans="1:6">
      <c r="A276" s="9">
        <v>273</v>
      </c>
      <c r="B276" s="10" t="s">
        <v>259</v>
      </c>
      <c r="C276" s="10" t="s">
        <v>9</v>
      </c>
      <c r="D276" s="10" t="s">
        <v>282</v>
      </c>
      <c r="E276" s="10" t="str">
        <f>"644020240512224508171580"</f>
        <v>644020240512224508171580</v>
      </c>
      <c r="F276" s="9"/>
    </row>
    <row r="277" s="2" customFormat="1" ht="30" customHeight="1" spans="1:6">
      <c r="A277" s="9">
        <v>274</v>
      </c>
      <c r="B277" s="10" t="s">
        <v>259</v>
      </c>
      <c r="C277" s="10" t="s">
        <v>9</v>
      </c>
      <c r="D277" s="10" t="s">
        <v>283</v>
      </c>
      <c r="E277" s="10" t="str">
        <f>"644020240512221110171393"</f>
        <v>644020240512221110171393</v>
      </c>
      <c r="F277" s="9"/>
    </row>
    <row r="278" s="2" customFormat="1" ht="30" customHeight="1" spans="1:6">
      <c r="A278" s="9">
        <v>275</v>
      </c>
      <c r="B278" s="10" t="s">
        <v>259</v>
      </c>
      <c r="C278" s="10" t="s">
        <v>9</v>
      </c>
      <c r="D278" s="10" t="s">
        <v>284</v>
      </c>
      <c r="E278" s="10" t="str">
        <f>"644020240512145309169624"</f>
        <v>644020240512145309169624</v>
      </c>
      <c r="F278" s="9"/>
    </row>
    <row r="279" s="2" customFormat="1" ht="30" customHeight="1" spans="1:6">
      <c r="A279" s="9">
        <v>276</v>
      </c>
      <c r="B279" s="10" t="s">
        <v>259</v>
      </c>
      <c r="C279" s="10" t="s">
        <v>9</v>
      </c>
      <c r="D279" s="10" t="s">
        <v>285</v>
      </c>
      <c r="E279" s="10" t="str">
        <f>"644020240512222707171484"</f>
        <v>644020240512222707171484</v>
      </c>
      <c r="F279" s="9"/>
    </row>
    <row r="280" s="2" customFormat="1" ht="30" customHeight="1" spans="1:6">
      <c r="A280" s="9">
        <v>277</v>
      </c>
      <c r="B280" s="10" t="s">
        <v>259</v>
      </c>
      <c r="C280" s="10" t="s">
        <v>9</v>
      </c>
      <c r="D280" s="10" t="s">
        <v>286</v>
      </c>
      <c r="E280" s="10" t="str">
        <f>"644020240512095942168387"</f>
        <v>644020240512095942168387</v>
      </c>
      <c r="F280" s="9"/>
    </row>
    <row r="281" s="2" customFormat="1" ht="30" customHeight="1" spans="1:6">
      <c r="A281" s="9">
        <v>278</v>
      </c>
      <c r="B281" s="10" t="s">
        <v>259</v>
      </c>
      <c r="C281" s="10" t="s">
        <v>9</v>
      </c>
      <c r="D281" s="10" t="s">
        <v>287</v>
      </c>
      <c r="E281" s="10" t="str">
        <f>"644020240513084219172369"</f>
        <v>644020240513084219172369</v>
      </c>
      <c r="F281" s="9"/>
    </row>
    <row r="282" s="2" customFormat="1" ht="30" customHeight="1" spans="1:6">
      <c r="A282" s="9">
        <v>279</v>
      </c>
      <c r="B282" s="10" t="s">
        <v>259</v>
      </c>
      <c r="C282" s="10" t="s">
        <v>9</v>
      </c>
      <c r="D282" s="10" t="s">
        <v>288</v>
      </c>
      <c r="E282" s="10" t="str">
        <f>"644020240513091909172695"</f>
        <v>644020240513091909172695</v>
      </c>
      <c r="F282" s="9"/>
    </row>
    <row r="283" s="2" customFormat="1" ht="30" customHeight="1" spans="1:6">
      <c r="A283" s="9">
        <v>280</v>
      </c>
      <c r="B283" s="10" t="s">
        <v>259</v>
      </c>
      <c r="C283" s="10" t="s">
        <v>9</v>
      </c>
      <c r="D283" s="10" t="s">
        <v>289</v>
      </c>
      <c r="E283" s="10" t="str">
        <f>"644020240513094806172992"</f>
        <v>644020240513094806172992</v>
      </c>
      <c r="F283" s="9"/>
    </row>
    <row r="284" s="2" customFormat="1" ht="30" customHeight="1" spans="1:6">
      <c r="A284" s="9">
        <v>281</v>
      </c>
      <c r="B284" s="10" t="s">
        <v>259</v>
      </c>
      <c r="C284" s="10" t="s">
        <v>9</v>
      </c>
      <c r="D284" s="10" t="s">
        <v>290</v>
      </c>
      <c r="E284" s="10" t="str">
        <f>"644020240513094758172990"</f>
        <v>644020240513094758172990</v>
      </c>
      <c r="F284" s="9"/>
    </row>
    <row r="285" s="2" customFormat="1" ht="30" customHeight="1" spans="1:6">
      <c r="A285" s="9">
        <v>282</v>
      </c>
      <c r="B285" s="10" t="s">
        <v>259</v>
      </c>
      <c r="C285" s="10" t="s">
        <v>9</v>
      </c>
      <c r="D285" s="10" t="s">
        <v>291</v>
      </c>
      <c r="E285" s="10" t="str">
        <f>"644020240513095321173058"</f>
        <v>644020240513095321173058</v>
      </c>
      <c r="F285" s="9"/>
    </row>
    <row r="286" s="2" customFormat="1" ht="30" customHeight="1" spans="1:6">
      <c r="A286" s="9">
        <v>283</v>
      </c>
      <c r="B286" s="10" t="s">
        <v>259</v>
      </c>
      <c r="C286" s="10" t="s">
        <v>9</v>
      </c>
      <c r="D286" s="10" t="s">
        <v>292</v>
      </c>
      <c r="E286" s="10" t="str">
        <f>"644020240512131647169306"</f>
        <v>644020240512131647169306</v>
      </c>
      <c r="F286" s="9"/>
    </row>
    <row r="287" s="2" customFormat="1" ht="30" customHeight="1" spans="1:6">
      <c r="A287" s="9">
        <v>284</v>
      </c>
      <c r="B287" s="10" t="s">
        <v>259</v>
      </c>
      <c r="C287" s="10" t="s">
        <v>9</v>
      </c>
      <c r="D287" s="10" t="s">
        <v>293</v>
      </c>
      <c r="E287" s="10" t="str">
        <f>"644020240513092745172783"</f>
        <v>644020240513092745172783</v>
      </c>
      <c r="F287" s="9"/>
    </row>
    <row r="288" s="2" customFormat="1" ht="30" customHeight="1" spans="1:6">
      <c r="A288" s="9">
        <v>285</v>
      </c>
      <c r="B288" s="10" t="s">
        <v>259</v>
      </c>
      <c r="C288" s="10" t="s">
        <v>9</v>
      </c>
      <c r="D288" s="10" t="s">
        <v>294</v>
      </c>
      <c r="E288" s="10" t="str">
        <f>"644020240513100404173147"</f>
        <v>644020240513100404173147</v>
      </c>
      <c r="F288" s="9"/>
    </row>
    <row r="289" s="2" customFormat="1" ht="30" customHeight="1" spans="1:6">
      <c r="A289" s="9">
        <v>286</v>
      </c>
      <c r="B289" s="10" t="s">
        <v>259</v>
      </c>
      <c r="C289" s="10" t="s">
        <v>9</v>
      </c>
      <c r="D289" s="10" t="s">
        <v>295</v>
      </c>
      <c r="E289" s="10" t="str">
        <f>"644020240513102754173395"</f>
        <v>644020240513102754173395</v>
      </c>
      <c r="F289" s="9"/>
    </row>
    <row r="290" s="2" customFormat="1" ht="30" customHeight="1" spans="1:6">
      <c r="A290" s="9">
        <v>287</v>
      </c>
      <c r="B290" s="10" t="s">
        <v>259</v>
      </c>
      <c r="C290" s="10" t="s">
        <v>9</v>
      </c>
      <c r="D290" s="10" t="s">
        <v>296</v>
      </c>
      <c r="E290" s="10" t="str">
        <f>"644020240512211332171064"</f>
        <v>644020240512211332171064</v>
      </c>
      <c r="F290" s="9"/>
    </row>
    <row r="291" s="2" customFormat="1" ht="30" customHeight="1" spans="1:6">
      <c r="A291" s="9">
        <v>288</v>
      </c>
      <c r="B291" s="10" t="s">
        <v>259</v>
      </c>
      <c r="C291" s="10" t="s">
        <v>9</v>
      </c>
      <c r="D291" s="10" t="s">
        <v>297</v>
      </c>
      <c r="E291" s="10" t="str">
        <f>"644020240513094811172993"</f>
        <v>644020240513094811172993</v>
      </c>
      <c r="F291" s="9"/>
    </row>
    <row r="292" s="2" customFormat="1" ht="30" customHeight="1" spans="1:6">
      <c r="A292" s="9">
        <v>289</v>
      </c>
      <c r="B292" s="10" t="s">
        <v>259</v>
      </c>
      <c r="C292" s="10" t="s">
        <v>9</v>
      </c>
      <c r="D292" s="10" t="s">
        <v>298</v>
      </c>
      <c r="E292" s="10" t="str">
        <f>"644020240513104459173551"</f>
        <v>644020240513104459173551</v>
      </c>
      <c r="F292" s="9"/>
    </row>
    <row r="293" s="2" customFormat="1" ht="30" customHeight="1" spans="1:6">
      <c r="A293" s="9">
        <v>290</v>
      </c>
      <c r="B293" s="10" t="s">
        <v>259</v>
      </c>
      <c r="C293" s="10" t="s">
        <v>9</v>
      </c>
      <c r="D293" s="10" t="s">
        <v>299</v>
      </c>
      <c r="E293" s="10" t="str">
        <f>"644020240512220907171380"</f>
        <v>644020240512220907171380</v>
      </c>
      <c r="F293" s="9"/>
    </row>
    <row r="294" s="2" customFormat="1" ht="30" customHeight="1" spans="1:6">
      <c r="A294" s="9">
        <v>291</v>
      </c>
      <c r="B294" s="10" t="s">
        <v>259</v>
      </c>
      <c r="C294" s="10" t="s">
        <v>9</v>
      </c>
      <c r="D294" s="10" t="s">
        <v>300</v>
      </c>
      <c r="E294" s="10" t="str">
        <f>"644020240513105531173650"</f>
        <v>644020240513105531173650</v>
      </c>
      <c r="F294" s="9"/>
    </row>
    <row r="295" s="2" customFormat="1" ht="30" customHeight="1" spans="1:6">
      <c r="A295" s="9">
        <v>292</v>
      </c>
      <c r="B295" s="10" t="s">
        <v>259</v>
      </c>
      <c r="C295" s="10" t="s">
        <v>9</v>
      </c>
      <c r="D295" s="10" t="s">
        <v>301</v>
      </c>
      <c r="E295" s="10" t="str">
        <f>"644020240513095518173077"</f>
        <v>644020240513095518173077</v>
      </c>
      <c r="F295" s="9"/>
    </row>
    <row r="296" s="2" customFormat="1" ht="30" customHeight="1" spans="1:6">
      <c r="A296" s="9">
        <v>293</v>
      </c>
      <c r="B296" s="10" t="s">
        <v>259</v>
      </c>
      <c r="C296" s="10" t="s">
        <v>9</v>
      </c>
      <c r="D296" s="10" t="s">
        <v>302</v>
      </c>
      <c r="E296" s="10" t="str">
        <f>"644020240513105406173632"</f>
        <v>644020240513105406173632</v>
      </c>
      <c r="F296" s="9"/>
    </row>
    <row r="297" s="2" customFormat="1" ht="30" customHeight="1" spans="1:6">
      <c r="A297" s="9">
        <v>294</v>
      </c>
      <c r="B297" s="10" t="s">
        <v>259</v>
      </c>
      <c r="C297" s="10" t="s">
        <v>9</v>
      </c>
      <c r="D297" s="10" t="s">
        <v>303</v>
      </c>
      <c r="E297" s="10" t="str">
        <f>"644020240513102013173310"</f>
        <v>644020240513102013173310</v>
      </c>
      <c r="F297" s="9"/>
    </row>
    <row r="298" s="2" customFormat="1" ht="30" customHeight="1" spans="1:6">
      <c r="A298" s="9">
        <v>295</v>
      </c>
      <c r="B298" s="10" t="s">
        <v>259</v>
      </c>
      <c r="C298" s="10" t="s">
        <v>9</v>
      </c>
      <c r="D298" s="10" t="s">
        <v>304</v>
      </c>
      <c r="E298" s="10" t="str">
        <f>"644020240513114021174034"</f>
        <v>644020240513114021174034</v>
      </c>
      <c r="F298" s="9"/>
    </row>
    <row r="299" s="2" customFormat="1" ht="30" customHeight="1" spans="1:6">
      <c r="A299" s="9">
        <v>296</v>
      </c>
      <c r="B299" s="10" t="s">
        <v>259</v>
      </c>
      <c r="C299" s="10" t="s">
        <v>9</v>
      </c>
      <c r="D299" s="10" t="s">
        <v>305</v>
      </c>
      <c r="E299" s="10" t="str">
        <f>"644020240513102124173318"</f>
        <v>644020240513102124173318</v>
      </c>
      <c r="F299" s="9"/>
    </row>
    <row r="300" s="2" customFormat="1" ht="30" customHeight="1" spans="1:6">
      <c r="A300" s="9">
        <v>297</v>
      </c>
      <c r="B300" s="10" t="s">
        <v>259</v>
      </c>
      <c r="C300" s="10" t="s">
        <v>9</v>
      </c>
      <c r="D300" s="10" t="s">
        <v>306</v>
      </c>
      <c r="E300" s="10" t="str">
        <f>"644020240513121759174234"</f>
        <v>644020240513121759174234</v>
      </c>
      <c r="F300" s="9"/>
    </row>
    <row r="301" s="2" customFormat="1" ht="30" customHeight="1" spans="1:6">
      <c r="A301" s="9">
        <v>298</v>
      </c>
      <c r="B301" s="10" t="s">
        <v>259</v>
      </c>
      <c r="C301" s="10" t="s">
        <v>9</v>
      </c>
      <c r="D301" s="10" t="s">
        <v>307</v>
      </c>
      <c r="E301" s="10" t="str">
        <f>"644020240513113846174025"</f>
        <v>644020240513113846174025</v>
      </c>
      <c r="F301" s="9"/>
    </row>
    <row r="302" s="2" customFormat="1" ht="30" customHeight="1" spans="1:6">
      <c r="A302" s="9">
        <v>299</v>
      </c>
      <c r="B302" s="10" t="s">
        <v>259</v>
      </c>
      <c r="C302" s="10" t="s">
        <v>9</v>
      </c>
      <c r="D302" s="10" t="s">
        <v>308</v>
      </c>
      <c r="E302" s="10" t="str">
        <f>"644020240512111027168773"</f>
        <v>644020240512111027168773</v>
      </c>
      <c r="F302" s="9"/>
    </row>
    <row r="303" s="2" customFormat="1" ht="30" customHeight="1" spans="1:6">
      <c r="A303" s="9">
        <v>300</v>
      </c>
      <c r="B303" s="10" t="s">
        <v>259</v>
      </c>
      <c r="C303" s="10" t="s">
        <v>9</v>
      </c>
      <c r="D303" s="10" t="s">
        <v>309</v>
      </c>
      <c r="E303" s="10" t="str">
        <f>"644020240513084125172361"</f>
        <v>644020240513084125172361</v>
      </c>
      <c r="F303" s="9"/>
    </row>
    <row r="304" s="2" customFormat="1" ht="30" customHeight="1" spans="1:6">
      <c r="A304" s="9">
        <v>301</v>
      </c>
      <c r="B304" s="10" t="s">
        <v>259</v>
      </c>
      <c r="C304" s="10" t="s">
        <v>9</v>
      </c>
      <c r="D304" s="10" t="s">
        <v>310</v>
      </c>
      <c r="E304" s="10" t="str">
        <f>"644020240513124403174388"</f>
        <v>644020240513124403174388</v>
      </c>
      <c r="F304" s="9"/>
    </row>
    <row r="305" s="2" customFormat="1" ht="30" customHeight="1" spans="1:6">
      <c r="A305" s="9">
        <v>302</v>
      </c>
      <c r="B305" s="10" t="s">
        <v>259</v>
      </c>
      <c r="C305" s="10" t="s">
        <v>9</v>
      </c>
      <c r="D305" s="10" t="s">
        <v>311</v>
      </c>
      <c r="E305" s="10" t="str">
        <f>"644020240513142815174964"</f>
        <v>644020240513142815174964</v>
      </c>
      <c r="F305" s="9"/>
    </row>
    <row r="306" s="2" customFormat="1" ht="30" customHeight="1" spans="1:6">
      <c r="A306" s="9">
        <v>303</v>
      </c>
      <c r="B306" s="10" t="s">
        <v>259</v>
      </c>
      <c r="C306" s="10" t="s">
        <v>9</v>
      </c>
      <c r="D306" s="10" t="s">
        <v>312</v>
      </c>
      <c r="E306" s="10" t="str">
        <f>"644020240513130816174569"</f>
        <v>644020240513130816174569</v>
      </c>
      <c r="F306" s="9"/>
    </row>
    <row r="307" s="2" customFormat="1" ht="30" customHeight="1" spans="1:6">
      <c r="A307" s="9">
        <v>304</v>
      </c>
      <c r="B307" s="10" t="s">
        <v>259</v>
      </c>
      <c r="C307" s="10" t="s">
        <v>9</v>
      </c>
      <c r="D307" s="10" t="s">
        <v>313</v>
      </c>
      <c r="E307" s="10" t="str">
        <f>"644020240513102812173399"</f>
        <v>644020240513102812173399</v>
      </c>
      <c r="F307" s="9"/>
    </row>
    <row r="308" s="2" customFormat="1" ht="30" customHeight="1" spans="1:6">
      <c r="A308" s="9">
        <v>305</v>
      </c>
      <c r="B308" s="10" t="s">
        <v>259</v>
      </c>
      <c r="C308" s="10" t="s">
        <v>9</v>
      </c>
      <c r="D308" s="10" t="s">
        <v>314</v>
      </c>
      <c r="E308" s="10" t="str">
        <f>"644020240512211346171065"</f>
        <v>644020240512211346171065</v>
      </c>
      <c r="F308" s="9"/>
    </row>
    <row r="309" s="2" customFormat="1" ht="30" customHeight="1" spans="1:6">
      <c r="A309" s="9">
        <v>306</v>
      </c>
      <c r="B309" s="10" t="s">
        <v>259</v>
      </c>
      <c r="C309" s="10" t="s">
        <v>9</v>
      </c>
      <c r="D309" s="10" t="s">
        <v>315</v>
      </c>
      <c r="E309" s="10" t="str">
        <f>"644020240513150436175221"</f>
        <v>644020240513150436175221</v>
      </c>
      <c r="F309" s="9"/>
    </row>
    <row r="310" s="2" customFormat="1" ht="30" customHeight="1" spans="1:6">
      <c r="A310" s="9">
        <v>307</v>
      </c>
      <c r="B310" s="10" t="s">
        <v>259</v>
      </c>
      <c r="C310" s="10" t="s">
        <v>9</v>
      </c>
      <c r="D310" s="10" t="s">
        <v>316</v>
      </c>
      <c r="E310" s="10" t="str">
        <f>"644020240513143719175015"</f>
        <v>644020240513143719175015</v>
      </c>
      <c r="F310" s="9"/>
    </row>
    <row r="311" s="2" customFormat="1" ht="30" customHeight="1" spans="1:6">
      <c r="A311" s="9">
        <v>308</v>
      </c>
      <c r="B311" s="10" t="s">
        <v>259</v>
      </c>
      <c r="C311" s="10" t="s">
        <v>9</v>
      </c>
      <c r="D311" s="10" t="s">
        <v>317</v>
      </c>
      <c r="E311" s="10" t="str">
        <f>"644020240513104044173514"</f>
        <v>644020240513104044173514</v>
      </c>
      <c r="F311" s="9"/>
    </row>
    <row r="312" s="2" customFormat="1" ht="30" customHeight="1" spans="1:6">
      <c r="A312" s="9">
        <v>309</v>
      </c>
      <c r="B312" s="10" t="s">
        <v>259</v>
      </c>
      <c r="C312" s="10" t="s">
        <v>9</v>
      </c>
      <c r="D312" s="10" t="s">
        <v>318</v>
      </c>
      <c r="E312" s="10" t="str">
        <f>"644020240512130528169257"</f>
        <v>644020240512130528169257</v>
      </c>
      <c r="F312" s="9"/>
    </row>
    <row r="313" s="2" customFormat="1" ht="30" customHeight="1" spans="1:6">
      <c r="A313" s="9">
        <v>310</v>
      </c>
      <c r="B313" s="10" t="s">
        <v>259</v>
      </c>
      <c r="C313" s="10" t="s">
        <v>9</v>
      </c>
      <c r="D313" s="10" t="s">
        <v>319</v>
      </c>
      <c r="E313" s="10" t="str">
        <f>"644020240513105430173636"</f>
        <v>644020240513105430173636</v>
      </c>
      <c r="F313" s="9"/>
    </row>
    <row r="314" s="2" customFormat="1" ht="30" customHeight="1" spans="1:6">
      <c r="A314" s="9">
        <v>311</v>
      </c>
      <c r="B314" s="10" t="s">
        <v>259</v>
      </c>
      <c r="C314" s="10" t="s">
        <v>9</v>
      </c>
      <c r="D314" s="10" t="s">
        <v>320</v>
      </c>
      <c r="E314" s="10" t="str">
        <f>"644020240513094949173013"</f>
        <v>644020240513094949173013</v>
      </c>
      <c r="F314" s="9"/>
    </row>
    <row r="315" s="2" customFormat="1" ht="30" customHeight="1" spans="1:6">
      <c r="A315" s="9">
        <v>312</v>
      </c>
      <c r="B315" s="10" t="s">
        <v>259</v>
      </c>
      <c r="C315" s="10" t="s">
        <v>9</v>
      </c>
      <c r="D315" s="10" t="s">
        <v>321</v>
      </c>
      <c r="E315" s="10" t="str">
        <f>"644020240513150653175244"</f>
        <v>644020240513150653175244</v>
      </c>
      <c r="F315" s="9"/>
    </row>
    <row r="316" s="2" customFormat="1" ht="30" customHeight="1" spans="1:6">
      <c r="A316" s="9">
        <v>313</v>
      </c>
      <c r="B316" s="10" t="s">
        <v>259</v>
      </c>
      <c r="C316" s="10" t="s">
        <v>9</v>
      </c>
      <c r="D316" s="10" t="s">
        <v>322</v>
      </c>
      <c r="E316" s="10" t="str">
        <f>"644020240513160454175811"</f>
        <v>644020240513160454175811</v>
      </c>
      <c r="F316" s="9"/>
    </row>
    <row r="317" s="2" customFormat="1" ht="30" customHeight="1" spans="1:6">
      <c r="A317" s="9">
        <v>314</v>
      </c>
      <c r="B317" s="10" t="s">
        <v>259</v>
      </c>
      <c r="C317" s="10" t="s">
        <v>9</v>
      </c>
      <c r="D317" s="10" t="s">
        <v>323</v>
      </c>
      <c r="E317" s="10" t="str">
        <f>"644020240513162849175938"</f>
        <v>644020240513162849175938</v>
      </c>
      <c r="F317" s="9"/>
    </row>
    <row r="318" s="2" customFormat="1" ht="30" customHeight="1" spans="1:6">
      <c r="A318" s="9">
        <v>315</v>
      </c>
      <c r="B318" s="10" t="s">
        <v>259</v>
      </c>
      <c r="C318" s="10" t="s">
        <v>9</v>
      </c>
      <c r="D318" s="10" t="s">
        <v>324</v>
      </c>
      <c r="E318" s="10" t="str">
        <f>"644020240513163529175969"</f>
        <v>644020240513163529175969</v>
      </c>
      <c r="F318" s="9"/>
    </row>
    <row r="319" s="2" customFormat="1" ht="30" customHeight="1" spans="1:6">
      <c r="A319" s="9">
        <v>316</v>
      </c>
      <c r="B319" s="10" t="s">
        <v>259</v>
      </c>
      <c r="C319" s="10" t="s">
        <v>9</v>
      </c>
      <c r="D319" s="10" t="s">
        <v>325</v>
      </c>
      <c r="E319" s="10" t="str">
        <f>"644020240512214741171253"</f>
        <v>644020240512214741171253</v>
      </c>
      <c r="F319" s="9"/>
    </row>
    <row r="320" s="2" customFormat="1" ht="30" customHeight="1" spans="1:6">
      <c r="A320" s="9">
        <v>317</v>
      </c>
      <c r="B320" s="10" t="s">
        <v>259</v>
      </c>
      <c r="C320" s="10" t="s">
        <v>9</v>
      </c>
      <c r="D320" s="10" t="s">
        <v>326</v>
      </c>
      <c r="E320" s="10" t="str">
        <f>"644020240513160632175822"</f>
        <v>644020240513160632175822</v>
      </c>
      <c r="F320" s="9"/>
    </row>
    <row r="321" s="2" customFormat="1" ht="30" customHeight="1" spans="1:6">
      <c r="A321" s="9">
        <v>318</v>
      </c>
      <c r="B321" s="10" t="s">
        <v>259</v>
      </c>
      <c r="C321" s="10" t="s">
        <v>9</v>
      </c>
      <c r="D321" s="10" t="s">
        <v>327</v>
      </c>
      <c r="E321" s="10" t="str">
        <f>"644020240513173002176230"</f>
        <v>644020240513173002176230</v>
      </c>
      <c r="F321" s="9"/>
    </row>
    <row r="322" s="2" customFormat="1" ht="30" customHeight="1" spans="1:6">
      <c r="A322" s="9">
        <v>319</v>
      </c>
      <c r="B322" s="10" t="s">
        <v>259</v>
      </c>
      <c r="C322" s="10" t="s">
        <v>9</v>
      </c>
      <c r="D322" s="10" t="s">
        <v>328</v>
      </c>
      <c r="E322" s="10" t="str">
        <f>"644020240513171902176178"</f>
        <v>644020240513171902176178</v>
      </c>
      <c r="F322" s="9"/>
    </row>
    <row r="323" s="2" customFormat="1" ht="30" customHeight="1" spans="1:6">
      <c r="A323" s="9">
        <v>320</v>
      </c>
      <c r="B323" s="10" t="s">
        <v>259</v>
      </c>
      <c r="C323" s="10" t="s">
        <v>9</v>
      </c>
      <c r="D323" s="10" t="s">
        <v>329</v>
      </c>
      <c r="E323" s="10" t="str">
        <f>"644020240513172447176211"</f>
        <v>644020240513172447176211</v>
      </c>
      <c r="F323" s="9"/>
    </row>
    <row r="324" s="2" customFormat="1" ht="30" customHeight="1" spans="1:6">
      <c r="A324" s="9">
        <v>321</v>
      </c>
      <c r="B324" s="10" t="s">
        <v>259</v>
      </c>
      <c r="C324" s="10" t="s">
        <v>9</v>
      </c>
      <c r="D324" s="10" t="s">
        <v>330</v>
      </c>
      <c r="E324" s="10" t="str">
        <f>"644020240513174125176284"</f>
        <v>644020240513174125176284</v>
      </c>
      <c r="F324" s="9"/>
    </row>
    <row r="325" s="2" customFormat="1" ht="30" customHeight="1" spans="1:6">
      <c r="A325" s="9">
        <v>322</v>
      </c>
      <c r="B325" s="10" t="s">
        <v>259</v>
      </c>
      <c r="C325" s="10" t="s">
        <v>9</v>
      </c>
      <c r="D325" s="10" t="s">
        <v>331</v>
      </c>
      <c r="E325" s="10" t="str">
        <f>"644020240513113843174024"</f>
        <v>644020240513113843174024</v>
      </c>
      <c r="F325" s="9"/>
    </row>
    <row r="326" s="2" customFormat="1" ht="30" customHeight="1" spans="1:6">
      <c r="A326" s="9">
        <v>323</v>
      </c>
      <c r="B326" s="10" t="s">
        <v>259</v>
      </c>
      <c r="C326" s="10" t="s">
        <v>9</v>
      </c>
      <c r="D326" s="10" t="s">
        <v>332</v>
      </c>
      <c r="E326" s="10" t="str">
        <f>"644020240513160255175793"</f>
        <v>644020240513160255175793</v>
      </c>
      <c r="F326" s="9"/>
    </row>
    <row r="327" s="2" customFormat="1" ht="30" customHeight="1" spans="1:6">
      <c r="A327" s="9">
        <v>324</v>
      </c>
      <c r="B327" s="10" t="s">
        <v>259</v>
      </c>
      <c r="C327" s="10" t="s">
        <v>9</v>
      </c>
      <c r="D327" s="10" t="s">
        <v>333</v>
      </c>
      <c r="E327" s="10" t="str">
        <f>"644020240513174919176311"</f>
        <v>644020240513174919176311</v>
      </c>
      <c r="F327" s="9"/>
    </row>
    <row r="328" s="2" customFormat="1" ht="30" customHeight="1" spans="1:6">
      <c r="A328" s="9">
        <v>325</v>
      </c>
      <c r="B328" s="10" t="s">
        <v>259</v>
      </c>
      <c r="C328" s="10" t="s">
        <v>9</v>
      </c>
      <c r="D328" s="10" t="s">
        <v>334</v>
      </c>
      <c r="E328" s="10" t="str">
        <f>"644020240513100432173154"</f>
        <v>644020240513100432173154</v>
      </c>
      <c r="F328" s="9"/>
    </row>
    <row r="329" s="2" customFormat="1" ht="30" customHeight="1" spans="1:6">
      <c r="A329" s="9">
        <v>326</v>
      </c>
      <c r="B329" s="10" t="s">
        <v>259</v>
      </c>
      <c r="C329" s="10" t="s">
        <v>9</v>
      </c>
      <c r="D329" s="10" t="s">
        <v>335</v>
      </c>
      <c r="E329" s="10" t="str">
        <f>"644020240512164022170043"</f>
        <v>644020240512164022170043</v>
      </c>
      <c r="F329" s="9"/>
    </row>
    <row r="330" s="2" customFormat="1" ht="30" customHeight="1" spans="1:6">
      <c r="A330" s="9">
        <v>327</v>
      </c>
      <c r="B330" s="10" t="s">
        <v>259</v>
      </c>
      <c r="C330" s="10" t="s">
        <v>9</v>
      </c>
      <c r="D330" s="10" t="s">
        <v>336</v>
      </c>
      <c r="E330" s="10" t="str">
        <f>"644020240513123621174332"</f>
        <v>644020240513123621174332</v>
      </c>
      <c r="F330" s="9"/>
    </row>
    <row r="331" s="2" customFormat="1" ht="30" customHeight="1" spans="1:6">
      <c r="A331" s="9">
        <v>328</v>
      </c>
      <c r="B331" s="10" t="s">
        <v>259</v>
      </c>
      <c r="C331" s="10" t="s">
        <v>9</v>
      </c>
      <c r="D331" s="10" t="s">
        <v>337</v>
      </c>
      <c r="E331" s="10" t="str">
        <f>"644020240512090203168100"</f>
        <v>644020240512090203168100</v>
      </c>
      <c r="F331" s="9"/>
    </row>
    <row r="332" s="2" customFormat="1" ht="30" customHeight="1" spans="1:6">
      <c r="A332" s="9">
        <v>329</v>
      </c>
      <c r="B332" s="10" t="s">
        <v>259</v>
      </c>
      <c r="C332" s="10" t="s">
        <v>9</v>
      </c>
      <c r="D332" s="10" t="s">
        <v>338</v>
      </c>
      <c r="E332" s="10" t="str">
        <f>"644020240513164530176024"</f>
        <v>644020240513164530176024</v>
      </c>
      <c r="F332" s="9"/>
    </row>
    <row r="333" s="2" customFormat="1" ht="30" customHeight="1" spans="1:6">
      <c r="A333" s="9">
        <v>330</v>
      </c>
      <c r="B333" s="10" t="s">
        <v>259</v>
      </c>
      <c r="C333" s="10" t="s">
        <v>9</v>
      </c>
      <c r="D333" s="10" t="s">
        <v>339</v>
      </c>
      <c r="E333" s="10" t="str">
        <f>"644020240513193040176618"</f>
        <v>644020240513193040176618</v>
      </c>
      <c r="F333" s="9"/>
    </row>
    <row r="334" s="2" customFormat="1" ht="30" customHeight="1" spans="1:6">
      <c r="A334" s="9">
        <v>331</v>
      </c>
      <c r="B334" s="10" t="s">
        <v>259</v>
      </c>
      <c r="C334" s="10" t="s">
        <v>9</v>
      </c>
      <c r="D334" s="10" t="s">
        <v>340</v>
      </c>
      <c r="E334" s="10" t="str">
        <f>"644020240513194110176657"</f>
        <v>644020240513194110176657</v>
      </c>
      <c r="F334" s="9"/>
    </row>
    <row r="335" s="2" customFormat="1" ht="30" customHeight="1" spans="1:6">
      <c r="A335" s="9">
        <v>332</v>
      </c>
      <c r="B335" s="10" t="s">
        <v>259</v>
      </c>
      <c r="C335" s="10" t="s">
        <v>9</v>
      </c>
      <c r="D335" s="10" t="s">
        <v>341</v>
      </c>
      <c r="E335" s="10" t="str">
        <f>"644020240513194814176685"</f>
        <v>644020240513194814176685</v>
      </c>
      <c r="F335" s="9"/>
    </row>
    <row r="336" s="2" customFormat="1" ht="30" customHeight="1" spans="1:6">
      <c r="A336" s="9">
        <v>333</v>
      </c>
      <c r="B336" s="10" t="s">
        <v>259</v>
      </c>
      <c r="C336" s="10" t="s">
        <v>9</v>
      </c>
      <c r="D336" s="10" t="s">
        <v>342</v>
      </c>
      <c r="E336" s="10" t="str">
        <f>"644020240513200802176751"</f>
        <v>644020240513200802176751</v>
      </c>
      <c r="F336" s="9"/>
    </row>
    <row r="337" s="2" customFormat="1" ht="30" customHeight="1" spans="1:6">
      <c r="A337" s="9">
        <v>334</v>
      </c>
      <c r="B337" s="10" t="s">
        <v>259</v>
      </c>
      <c r="C337" s="10" t="s">
        <v>9</v>
      </c>
      <c r="D337" s="10" t="s">
        <v>343</v>
      </c>
      <c r="E337" s="10" t="str">
        <f>"644020240513203731176865"</f>
        <v>644020240513203731176865</v>
      </c>
      <c r="F337" s="9"/>
    </row>
    <row r="338" s="2" customFormat="1" ht="30" customHeight="1" spans="1:6">
      <c r="A338" s="9">
        <v>335</v>
      </c>
      <c r="B338" s="10" t="s">
        <v>259</v>
      </c>
      <c r="C338" s="10" t="s">
        <v>9</v>
      </c>
      <c r="D338" s="10" t="s">
        <v>344</v>
      </c>
      <c r="E338" s="10" t="str">
        <f>"644020240513194350176669"</f>
        <v>644020240513194350176669</v>
      </c>
      <c r="F338" s="9"/>
    </row>
    <row r="339" s="2" customFormat="1" ht="30" customHeight="1" spans="1:6">
      <c r="A339" s="9">
        <v>336</v>
      </c>
      <c r="B339" s="10" t="s">
        <v>259</v>
      </c>
      <c r="C339" s="10" t="s">
        <v>9</v>
      </c>
      <c r="D339" s="10" t="s">
        <v>345</v>
      </c>
      <c r="E339" s="10" t="str">
        <f>"644020240513211443177020"</f>
        <v>644020240513211443177020</v>
      </c>
      <c r="F339" s="9"/>
    </row>
    <row r="340" s="2" customFormat="1" ht="30" customHeight="1" spans="1:6">
      <c r="A340" s="9">
        <v>337</v>
      </c>
      <c r="B340" s="10" t="s">
        <v>259</v>
      </c>
      <c r="C340" s="10" t="s">
        <v>9</v>
      </c>
      <c r="D340" s="10" t="s">
        <v>346</v>
      </c>
      <c r="E340" s="10" t="str">
        <f>"644020240513214254177132"</f>
        <v>644020240513214254177132</v>
      </c>
      <c r="F340" s="9"/>
    </row>
    <row r="341" s="2" customFormat="1" ht="30" customHeight="1" spans="1:6">
      <c r="A341" s="9">
        <v>338</v>
      </c>
      <c r="B341" s="10" t="s">
        <v>259</v>
      </c>
      <c r="C341" s="10" t="s">
        <v>9</v>
      </c>
      <c r="D341" s="10" t="s">
        <v>347</v>
      </c>
      <c r="E341" s="10" t="str">
        <f>"644020240513142714174952"</f>
        <v>644020240513142714174952</v>
      </c>
      <c r="F341" s="9"/>
    </row>
    <row r="342" s="2" customFormat="1" ht="30" customHeight="1" spans="1:6">
      <c r="A342" s="9">
        <v>339</v>
      </c>
      <c r="B342" s="10" t="s">
        <v>259</v>
      </c>
      <c r="C342" s="10" t="s">
        <v>9</v>
      </c>
      <c r="D342" s="10" t="s">
        <v>348</v>
      </c>
      <c r="E342" s="10" t="str">
        <f>"644020240513215113177176"</f>
        <v>644020240513215113177176</v>
      </c>
      <c r="F342" s="9"/>
    </row>
    <row r="343" s="2" customFormat="1" ht="30" customHeight="1" spans="1:6">
      <c r="A343" s="9">
        <v>340</v>
      </c>
      <c r="B343" s="10" t="s">
        <v>259</v>
      </c>
      <c r="C343" s="10" t="s">
        <v>9</v>
      </c>
      <c r="D343" s="10" t="s">
        <v>349</v>
      </c>
      <c r="E343" s="10" t="str">
        <f>"644020240513220205177231"</f>
        <v>644020240513220205177231</v>
      </c>
      <c r="F343" s="9"/>
    </row>
    <row r="344" s="2" customFormat="1" ht="30" customHeight="1" spans="1:6">
      <c r="A344" s="9">
        <v>341</v>
      </c>
      <c r="B344" s="10" t="s">
        <v>259</v>
      </c>
      <c r="C344" s="10" t="s">
        <v>9</v>
      </c>
      <c r="D344" s="10" t="s">
        <v>350</v>
      </c>
      <c r="E344" s="10" t="str">
        <f>"644020240513215307177184"</f>
        <v>644020240513215307177184</v>
      </c>
      <c r="F344" s="9"/>
    </row>
    <row r="345" s="2" customFormat="1" ht="30" customHeight="1" spans="1:6">
      <c r="A345" s="9">
        <v>342</v>
      </c>
      <c r="B345" s="10" t="s">
        <v>259</v>
      </c>
      <c r="C345" s="10" t="s">
        <v>9</v>
      </c>
      <c r="D345" s="10" t="s">
        <v>351</v>
      </c>
      <c r="E345" s="10" t="str">
        <f>"644020240513221804177314"</f>
        <v>644020240513221804177314</v>
      </c>
      <c r="F345" s="9"/>
    </row>
    <row r="346" s="2" customFormat="1" ht="30" customHeight="1" spans="1:6">
      <c r="A346" s="9">
        <v>343</v>
      </c>
      <c r="B346" s="10" t="s">
        <v>259</v>
      </c>
      <c r="C346" s="10" t="s">
        <v>9</v>
      </c>
      <c r="D346" s="10" t="s">
        <v>352</v>
      </c>
      <c r="E346" s="10" t="str">
        <f>"644020240513222622177347"</f>
        <v>644020240513222622177347</v>
      </c>
      <c r="F346" s="9"/>
    </row>
    <row r="347" s="2" customFormat="1" ht="30" customHeight="1" spans="1:6">
      <c r="A347" s="9">
        <v>344</v>
      </c>
      <c r="B347" s="10" t="s">
        <v>259</v>
      </c>
      <c r="C347" s="10" t="s">
        <v>9</v>
      </c>
      <c r="D347" s="10" t="s">
        <v>353</v>
      </c>
      <c r="E347" s="10" t="str">
        <f>"644020240513222701177351"</f>
        <v>644020240513222701177351</v>
      </c>
      <c r="F347" s="9"/>
    </row>
    <row r="348" s="2" customFormat="1" ht="30" customHeight="1" spans="1:6">
      <c r="A348" s="9">
        <v>345</v>
      </c>
      <c r="B348" s="10" t="s">
        <v>259</v>
      </c>
      <c r="C348" s="10" t="s">
        <v>9</v>
      </c>
      <c r="D348" s="10" t="s">
        <v>354</v>
      </c>
      <c r="E348" s="10" t="str">
        <f>"644020240512233700171846"</f>
        <v>644020240512233700171846</v>
      </c>
      <c r="F348" s="9"/>
    </row>
    <row r="349" s="2" customFormat="1" ht="30" customHeight="1" spans="1:6">
      <c r="A349" s="9">
        <v>346</v>
      </c>
      <c r="B349" s="10" t="s">
        <v>259</v>
      </c>
      <c r="C349" s="10" t="s">
        <v>9</v>
      </c>
      <c r="D349" s="10" t="s">
        <v>355</v>
      </c>
      <c r="E349" s="10" t="str">
        <f>"644020240514003133177681"</f>
        <v>644020240514003133177681</v>
      </c>
      <c r="F349" s="9"/>
    </row>
    <row r="350" s="2" customFormat="1" ht="30" customHeight="1" spans="1:6">
      <c r="A350" s="9">
        <v>347</v>
      </c>
      <c r="B350" s="10" t="s">
        <v>259</v>
      </c>
      <c r="C350" s="10" t="s">
        <v>9</v>
      </c>
      <c r="D350" s="10" t="s">
        <v>356</v>
      </c>
      <c r="E350" s="10" t="str">
        <f>"644020240513193458176637"</f>
        <v>644020240513193458176637</v>
      </c>
      <c r="F350" s="9"/>
    </row>
    <row r="351" s="2" customFormat="1" ht="30" customHeight="1" spans="1:6">
      <c r="A351" s="9">
        <v>348</v>
      </c>
      <c r="B351" s="10" t="s">
        <v>259</v>
      </c>
      <c r="C351" s="10" t="s">
        <v>9</v>
      </c>
      <c r="D351" s="10" t="s">
        <v>357</v>
      </c>
      <c r="E351" s="10" t="str">
        <f>"644020240513105453173639"</f>
        <v>644020240513105453173639</v>
      </c>
      <c r="F351" s="9"/>
    </row>
    <row r="352" s="2" customFormat="1" ht="30" customHeight="1" spans="1:6">
      <c r="A352" s="9">
        <v>349</v>
      </c>
      <c r="B352" s="10" t="s">
        <v>259</v>
      </c>
      <c r="C352" s="10" t="s">
        <v>9</v>
      </c>
      <c r="D352" s="10" t="s">
        <v>358</v>
      </c>
      <c r="E352" s="10" t="str">
        <f>"644020240514092110178071"</f>
        <v>644020240514092110178071</v>
      </c>
      <c r="F352" s="9"/>
    </row>
    <row r="353" s="2" customFormat="1" ht="30" customHeight="1" spans="1:6">
      <c r="A353" s="9">
        <v>350</v>
      </c>
      <c r="B353" s="10" t="s">
        <v>259</v>
      </c>
      <c r="C353" s="10" t="s">
        <v>9</v>
      </c>
      <c r="D353" s="10" t="s">
        <v>359</v>
      </c>
      <c r="E353" s="10" t="str">
        <f>"644020240514093953178163"</f>
        <v>644020240514093953178163</v>
      </c>
      <c r="F353" s="9"/>
    </row>
    <row r="354" s="2" customFormat="1" ht="30" customHeight="1" spans="1:6">
      <c r="A354" s="9">
        <v>351</v>
      </c>
      <c r="B354" s="10" t="s">
        <v>259</v>
      </c>
      <c r="C354" s="10" t="s">
        <v>9</v>
      </c>
      <c r="D354" s="10" t="s">
        <v>360</v>
      </c>
      <c r="E354" s="10" t="str">
        <f>"644020240513203553176855"</f>
        <v>644020240513203553176855</v>
      </c>
      <c r="F354" s="9"/>
    </row>
    <row r="355" s="2" customFormat="1" ht="30" customHeight="1" spans="1:6">
      <c r="A355" s="9">
        <v>352</v>
      </c>
      <c r="B355" s="10" t="s">
        <v>259</v>
      </c>
      <c r="C355" s="10" t="s">
        <v>9</v>
      </c>
      <c r="D355" s="10" t="s">
        <v>361</v>
      </c>
      <c r="E355" s="10" t="str">
        <f>"644020240512095203168332"</f>
        <v>644020240512095203168332</v>
      </c>
      <c r="F355" s="9"/>
    </row>
    <row r="356" s="2" customFormat="1" ht="30" customHeight="1" spans="1:6">
      <c r="A356" s="9">
        <v>353</v>
      </c>
      <c r="B356" s="10" t="s">
        <v>259</v>
      </c>
      <c r="C356" s="10" t="s">
        <v>9</v>
      </c>
      <c r="D356" s="10" t="s">
        <v>362</v>
      </c>
      <c r="E356" s="10" t="str">
        <f>"644020240514102017178371"</f>
        <v>644020240514102017178371</v>
      </c>
      <c r="F356" s="9"/>
    </row>
    <row r="357" s="2" customFormat="1" ht="30" customHeight="1" spans="1:6">
      <c r="A357" s="9">
        <v>354</v>
      </c>
      <c r="B357" s="10" t="s">
        <v>259</v>
      </c>
      <c r="C357" s="10" t="s">
        <v>9</v>
      </c>
      <c r="D357" s="10" t="s">
        <v>363</v>
      </c>
      <c r="E357" s="10" t="str">
        <f>"644020240513074746172176"</f>
        <v>644020240513074746172176</v>
      </c>
      <c r="F357" s="9"/>
    </row>
    <row r="358" s="2" customFormat="1" ht="30" customHeight="1" spans="1:6">
      <c r="A358" s="9">
        <v>355</v>
      </c>
      <c r="B358" s="10" t="s">
        <v>259</v>
      </c>
      <c r="C358" s="10" t="s">
        <v>9</v>
      </c>
      <c r="D358" s="10" t="s">
        <v>364</v>
      </c>
      <c r="E358" s="10" t="str">
        <f>"644020240514091452178041"</f>
        <v>644020240514091452178041</v>
      </c>
      <c r="F358" s="9"/>
    </row>
    <row r="359" s="2" customFormat="1" ht="30" customHeight="1" spans="1:6">
      <c r="A359" s="9">
        <v>356</v>
      </c>
      <c r="B359" s="10" t="s">
        <v>259</v>
      </c>
      <c r="C359" s="10" t="s">
        <v>9</v>
      </c>
      <c r="D359" s="10" t="s">
        <v>365</v>
      </c>
      <c r="E359" s="10" t="str">
        <f>"644020240514112143178683"</f>
        <v>644020240514112143178683</v>
      </c>
      <c r="F359" s="9"/>
    </row>
    <row r="360" s="2" customFormat="1" ht="30" customHeight="1" spans="1:6">
      <c r="A360" s="9">
        <v>357</v>
      </c>
      <c r="B360" s="10" t="s">
        <v>259</v>
      </c>
      <c r="C360" s="10" t="s">
        <v>9</v>
      </c>
      <c r="D360" s="10" t="s">
        <v>366</v>
      </c>
      <c r="E360" s="10" t="str">
        <f>"644020240514092510178088"</f>
        <v>644020240514092510178088</v>
      </c>
      <c r="F360" s="9"/>
    </row>
    <row r="361" s="2" customFormat="1" ht="30" customHeight="1" spans="1:6">
      <c r="A361" s="9">
        <v>358</v>
      </c>
      <c r="B361" s="10" t="s">
        <v>259</v>
      </c>
      <c r="C361" s="10" t="s">
        <v>9</v>
      </c>
      <c r="D361" s="10" t="s">
        <v>367</v>
      </c>
      <c r="E361" s="10" t="str">
        <f>"644020240513123459174325"</f>
        <v>644020240513123459174325</v>
      </c>
      <c r="F361" s="9"/>
    </row>
    <row r="362" s="2" customFormat="1" ht="30" customHeight="1" spans="1:6">
      <c r="A362" s="9">
        <v>359</v>
      </c>
      <c r="B362" s="10" t="s">
        <v>259</v>
      </c>
      <c r="C362" s="10" t="s">
        <v>9</v>
      </c>
      <c r="D362" s="10" t="s">
        <v>368</v>
      </c>
      <c r="E362" s="10" t="str">
        <f>"644020240513221133177283"</f>
        <v>644020240513221133177283</v>
      </c>
      <c r="F362" s="9"/>
    </row>
    <row r="363" s="2" customFormat="1" ht="30" customHeight="1" spans="1:6">
      <c r="A363" s="9">
        <v>360</v>
      </c>
      <c r="B363" s="10" t="s">
        <v>259</v>
      </c>
      <c r="C363" s="10" t="s">
        <v>9</v>
      </c>
      <c r="D363" s="10" t="s">
        <v>369</v>
      </c>
      <c r="E363" s="10" t="str">
        <f>"644020240514124058178915"</f>
        <v>644020240514124058178915</v>
      </c>
      <c r="F363" s="9"/>
    </row>
    <row r="364" s="2" customFormat="1" ht="30" customHeight="1" spans="1:6">
      <c r="A364" s="9">
        <v>361</v>
      </c>
      <c r="B364" s="10" t="s">
        <v>259</v>
      </c>
      <c r="C364" s="10" t="s">
        <v>9</v>
      </c>
      <c r="D364" s="10" t="s">
        <v>370</v>
      </c>
      <c r="E364" s="10" t="str">
        <f>"644020240514142105179118"</f>
        <v>644020240514142105179118</v>
      </c>
      <c r="F364" s="9"/>
    </row>
    <row r="365" s="2" customFormat="1" ht="30" customHeight="1" spans="1:6">
      <c r="A365" s="9">
        <v>362</v>
      </c>
      <c r="B365" s="10" t="s">
        <v>259</v>
      </c>
      <c r="C365" s="10" t="s">
        <v>9</v>
      </c>
      <c r="D365" s="10" t="s">
        <v>371</v>
      </c>
      <c r="E365" s="10" t="str">
        <f>"644020240513145439175140"</f>
        <v>644020240513145439175140</v>
      </c>
      <c r="F365" s="9"/>
    </row>
    <row r="366" s="2" customFormat="1" ht="30" customHeight="1" spans="1:6">
      <c r="A366" s="9">
        <v>363</v>
      </c>
      <c r="B366" s="10" t="s">
        <v>259</v>
      </c>
      <c r="C366" s="10" t="s">
        <v>9</v>
      </c>
      <c r="D366" s="10" t="s">
        <v>372</v>
      </c>
      <c r="E366" s="10" t="str">
        <f>"644020240514101549178346"</f>
        <v>644020240514101549178346</v>
      </c>
      <c r="F366" s="9"/>
    </row>
    <row r="367" s="2" customFormat="1" ht="30" customHeight="1" spans="1:6">
      <c r="A367" s="9">
        <v>364</v>
      </c>
      <c r="B367" s="10" t="s">
        <v>259</v>
      </c>
      <c r="C367" s="10" t="s">
        <v>9</v>
      </c>
      <c r="D367" s="10" t="s">
        <v>373</v>
      </c>
      <c r="E367" s="10" t="str">
        <f>"644020240514094027178171"</f>
        <v>644020240514094027178171</v>
      </c>
      <c r="F367" s="9"/>
    </row>
    <row r="368" s="2" customFormat="1" ht="30" customHeight="1" spans="1:6">
      <c r="A368" s="9">
        <v>365</v>
      </c>
      <c r="B368" s="10" t="s">
        <v>259</v>
      </c>
      <c r="C368" s="10" t="s">
        <v>9</v>
      </c>
      <c r="D368" s="10" t="s">
        <v>374</v>
      </c>
      <c r="E368" s="10" t="str">
        <f>"644020240514151202179243"</f>
        <v>644020240514151202179243</v>
      </c>
      <c r="F368" s="9"/>
    </row>
    <row r="369" s="2" customFormat="1" ht="30" customHeight="1" spans="1:6">
      <c r="A369" s="9">
        <v>366</v>
      </c>
      <c r="B369" s="10" t="s">
        <v>259</v>
      </c>
      <c r="C369" s="10" t="s">
        <v>9</v>
      </c>
      <c r="D369" s="10" t="s">
        <v>375</v>
      </c>
      <c r="E369" s="10" t="str">
        <f>"644020240514155023179366"</f>
        <v>644020240514155023179366</v>
      </c>
      <c r="F369" s="9"/>
    </row>
    <row r="370" s="2" customFormat="1" ht="30" customHeight="1" spans="1:6">
      <c r="A370" s="9">
        <v>367</v>
      </c>
      <c r="B370" s="10" t="s">
        <v>259</v>
      </c>
      <c r="C370" s="10" t="s">
        <v>9</v>
      </c>
      <c r="D370" s="10" t="s">
        <v>376</v>
      </c>
      <c r="E370" s="10" t="str">
        <f>"644020240513155332175720"</f>
        <v>644020240513155332175720</v>
      </c>
      <c r="F370" s="9"/>
    </row>
    <row r="371" s="2" customFormat="1" ht="30" customHeight="1" spans="1:6">
      <c r="A371" s="9">
        <v>368</v>
      </c>
      <c r="B371" s="10" t="s">
        <v>259</v>
      </c>
      <c r="C371" s="10" t="s">
        <v>9</v>
      </c>
      <c r="D371" s="10" t="s">
        <v>377</v>
      </c>
      <c r="E371" s="10" t="str">
        <f>"644020240514093121178117"</f>
        <v>644020240514093121178117</v>
      </c>
      <c r="F371" s="9"/>
    </row>
    <row r="372" s="2" customFormat="1" ht="30" customHeight="1" spans="1:6">
      <c r="A372" s="9">
        <v>369</v>
      </c>
      <c r="B372" s="10" t="s">
        <v>259</v>
      </c>
      <c r="C372" s="10" t="s">
        <v>9</v>
      </c>
      <c r="D372" s="10" t="s">
        <v>378</v>
      </c>
      <c r="E372" s="10" t="str">
        <f>"644020240514205058180075"</f>
        <v>644020240514205058180075</v>
      </c>
      <c r="F372" s="9"/>
    </row>
    <row r="373" s="2" customFormat="1" ht="30" customHeight="1" spans="1:6">
      <c r="A373" s="9">
        <v>370</v>
      </c>
      <c r="B373" s="10" t="s">
        <v>259</v>
      </c>
      <c r="C373" s="10" t="s">
        <v>9</v>
      </c>
      <c r="D373" s="10" t="s">
        <v>379</v>
      </c>
      <c r="E373" s="10" t="str">
        <f>"644020240513092006172706"</f>
        <v>644020240513092006172706</v>
      </c>
      <c r="F373" s="9"/>
    </row>
    <row r="374" s="2" customFormat="1" ht="30" customHeight="1" spans="1:6">
      <c r="A374" s="9">
        <v>371</v>
      </c>
      <c r="B374" s="10" t="s">
        <v>259</v>
      </c>
      <c r="C374" s="10" t="s">
        <v>9</v>
      </c>
      <c r="D374" s="10" t="s">
        <v>380</v>
      </c>
      <c r="E374" s="10" t="str">
        <f>"644020240513203054176828"</f>
        <v>644020240513203054176828</v>
      </c>
      <c r="F374" s="9"/>
    </row>
    <row r="375" s="2" customFormat="1" ht="30" customHeight="1" spans="1:6">
      <c r="A375" s="9">
        <v>372</v>
      </c>
      <c r="B375" s="10" t="s">
        <v>259</v>
      </c>
      <c r="C375" s="10" t="s">
        <v>9</v>
      </c>
      <c r="D375" s="10" t="s">
        <v>381</v>
      </c>
      <c r="E375" s="10" t="str">
        <f>"644020240514221334180331"</f>
        <v>644020240514221334180331</v>
      </c>
      <c r="F375" s="9"/>
    </row>
    <row r="376" s="2" customFormat="1" ht="30" customHeight="1" spans="1:6">
      <c r="A376" s="9">
        <v>373</v>
      </c>
      <c r="B376" s="10" t="s">
        <v>259</v>
      </c>
      <c r="C376" s="10" t="s">
        <v>9</v>
      </c>
      <c r="D376" s="10" t="s">
        <v>382</v>
      </c>
      <c r="E376" s="10" t="str">
        <f>"644020240514170511179626"</f>
        <v>644020240514170511179626</v>
      </c>
      <c r="F376" s="9"/>
    </row>
    <row r="377" s="2" customFormat="1" ht="30" customHeight="1" spans="1:6">
      <c r="A377" s="9">
        <v>374</v>
      </c>
      <c r="B377" s="10" t="s">
        <v>259</v>
      </c>
      <c r="C377" s="10" t="s">
        <v>9</v>
      </c>
      <c r="D377" s="10" t="s">
        <v>383</v>
      </c>
      <c r="E377" s="10" t="str">
        <f>"644020240514105149178568"</f>
        <v>644020240514105149178568</v>
      </c>
      <c r="F377" s="9"/>
    </row>
    <row r="378" s="2" customFormat="1" ht="30" customHeight="1" spans="1:6">
      <c r="A378" s="9">
        <v>375</v>
      </c>
      <c r="B378" s="10" t="s">
        <v>259</v>
      </c>
      <c r="C378" s="10" t="s">
        <v>9</v>
      </c>
      <c r="D378" s="10" t="s">
        <v>384</v>
      </c>
      <c r="E378" s="10" t="str">
        <f>"644020240512131622169304"</f>
        <v>644020240512131622169304</v>
      </c>
      <c r="F378" s="9"/>
    </row>
    <row r="379" s="2" customFormat="1" ht="30" customHeight="1" spans="1:6">
      <c r="A379" s="9">
        <v>376</v>
      </c>
      <c r="B379" s="10" t="s">
        <v>259</v>
      </c>
      <c r="C379" s="10" t="s">
        <v>9</v>
      </c>
      <c r="D379" s="10" t="s">
        <v>385</v>
      </c>
      <c r="E379" s="10" t="str">
        <f>"644020240513172303176204"</f>
        <v>644020240513172303176204</v>
      </c>
      <c r="F379" s="9"/>
    </row>
    <row r="380" s="2" customFormat="1" ht="30" customHeight="1" spans="1:6">
      <c r="A380" s="9">
        <v>377</v>
      </c>
      <c r="B380" s="10" t="s">
        <v>259</v>
      </c>
      <c r="C380" s="10" t="s">
        <v>9</v>
      </c>
      <c r="D380" s="10" t="s">
        <v>386</v>
      </c>
      <c r="E380" s="10" t="str">
        <f>"644020240514094017178169"</f>
        <v>644020240514094017178169</v>
      </c>
      <c r="F380" s="9"/>
    </row>
    <row r="381" s="2" customFormat="1" ht="30" customHeight="1" spans="1:6">
      <c r="A381" s="9">
        <v>378</v>
      </c>
      <c r="B381" s="10" t="s">
        <v>259</v>
      </c>
      <c r="C381" s="10" t="s">
        <v>9</v>
      </c>
      <c r="D381" s="10" t="s">
        <v>387</v>
      </c>
      <c r="E381" s="10" t="str">
        <f>"644020240515090727180780"</f>
        <v>644020240515090727180780</v>
      </c>
      <c r="F381" s="9"/>
    </row>
    <row r="382" s="2" customFormat="1" ht="30" customHeight="1" spans="1:6">
      <c r="A382" s="9">
        <v>379</v>
      </c>
      <c r="B382" s="10" t="s">
        <v>259</v>
      </c>
      <c r="C382" s="10" t="s">
        <v>9</v>
      </c>
      <c r="D382" s="10" t="s">
        <v>388</v>
      </c>
      <c r="E382" s="10" t="str">
        <f>"644020240514145400179190"</f>
        <v>644020240514145400179190</v>
      </c>
      <c r="F382" s="9"/>
    </row>
    <row r="383" s="2" customFormat="1" ht="30" customHeight="1" spans="1:6">
      <c r="A383" s="9">
        <v>380</v>
      </c>
      <c r="B383" s="10" t="s">
        <v>259</v>
      </c>
      <c r="C383" s="10" t="s">
        <v>9</v>
      </c>
      <c r="D383" s="10" t="s">
        <v>389</v>
      </c>
      <c r="E383" s="10" t="str">
        <f>"644020240515001807180588"</f>
        <v>644020240515001807180588</v>
      </c>
      <c r="F383" s="9"/>
    </row>
    <row r="384" s="2" customFormat="1" ht="30" customHeight="1" spans="1:6">
      <c r="A384" s="9">
        <v>381</v>
      </c>
      <c r="B384" s="10" t="s">
        <v>259</v>
      </c>
      <c r="C384" s="10" t="s">
        <v>9</v>
      </c>
      <c r="D384" s="10" t="s">
        <v>390</v>
      </c>
      <c r="E384" s="10" t="str">
        <f>"644020240515090427180772"</f>
        <v>644020240515090427180772</v>
      </c>
      <c r="F384" s="9"/>
    </row>
    <row r="385" s="2" customFormat="1" ht="30" customHeight="1" spans="1:6">
      <c r="A385" s="9">
        <v>382</v>
      </c>
      <c r="B385" s="10" t="s">
        <v>259</v>
      </c>
      <c r="C385" s="10" t="s">
        <v>9</v>
      </c>
      <c r="D385" s="10" t="s">
        <v>391</v>
      </c>
      <c r="E385" s="10" t="str">
        <f>"644020240513211517177025"</f>
        <v>644020240513211517177025</v>
      </c>
      <c r="F385" s="9"/>
    </row>
    <row r="386" s="2" customFormat="1" ht="30" customHeight="1" spans="1:6">
      <c r="A386" s="9">
        <v>383</v>
      </c>
      <c r="B386" s="10" t="s">
        <v>259</v>
      </c>
      <c r="C386" s="10" t="s">
        <v>9</v>
      </c>
      <c r="D386" s="10" t="s">
        <v>392</v>
      </c>
      <c r="E386" s="10" t="str">
        <f>"644020240515102752181040"</f>
        <v>644020240515102752181040</v>
      </c>
      <c r="F386" s="9"/>
    </row>
    <row r="387" s="2" customFormat="1" ht="30" customHeight="1" spans="1:6">
      <c r="A387" s="9">
        <v>384</v>
      </c>
      <c r="B387" s="10" t="s">
        <v>259</v>
      </c>
      <c r="C387" s="10" t="s">
        <v>9</v>
      </c>
      <c r="D387" s="10" t="s">
        <v>393</v>
      </c>
      <c r="E387" s="10" t="str">
        <f>"644020240514161846179462"</f>
        <v>644020240514161846179462</v>
      </c>
      <c r="F387" s="9"/>
    </row>
    <row r="388" s="2" customFormat="1" ht="30" customHeight="1" spans="1:6">
      <c r="A388" s="9">
        <v>385</v>
      </c>
      <c r="B388" s="10" t="s">
        <v>259</v>
      </c>
      <c r="C388" s="10" t="s">
        <v>9</v>
      </c>
      <c r="D388" s="10" t="s">
        <v>394</v>
      </c>
      <c r="E388" s="10" t="str">
        <f>"644020240515095216180922"</f>
        <v>644020240515095216180922</v>
      </c>
      <c r="F388" s="9"/>
    </row>
    <row r="389" s="2" customFormat="1" ht="30" customHeight="1" spans="1:6">
      <c r="A389" s="9">
        <v>386</v>
      </c>
      <c r="B389" s="10" t="s">
        <v>259</v>
      </c>
      <c r="C389" s="10" t="s">
        <v>9</v>
      </c>
      <c r="D389" s="10" t="s">
        <v>395</v>
      </c>
      <c r="E389" s="10" t="str">
        <f>"644020240515114314181280"</f>
        <v>644020240515114314181280</v>
      </c>
      <c r="F389" s="9"/>
    </row>
    <row r="390" s="2" customFormat="1" ht="30" customHeight="1" spans="1:6">
      <c r="A390" s="9">
        <v>387</v>
      </c>
      <c r="B390" s="10" t="s">
        <v>259</v>
      </c>
      <c r="C390" s="10" t="s">
        <v>9</v>
      </c>
      <c r="D390" s="10" t="s">
        <v>396</v>
      </c>
      <c r="E390" s="10" t="str">
        <f>"644020240515115725181315"</f>
        <v>644020240515115725181315</v>
      </c>
      <c r="F390" s="9"/>
    </row>
    <row r="391" s="2" customFormat="1" ht="30" customHeight="1" spans="1:6">
      <c r="A391" s="9">
        <v>388</v>
      </c>
      <c r="B391" s="10" t="s">
        <v>259</v>
      </c>
      <c r="C391" s="10" t="s">
        <v>9</v>
      </c>
      <c r="D391" s="10" t="s">
        <v>397</v>
      </c>
      <c r="E391" s="10" t="str">
        <f>"644020240515123707181381"</f>
        <v>644020240515123707181381</v>
      </c>
      <c r="F391" s="9"/>
    </row>
    <row r="392" s="2" customFormat="1" ht="30" customHeight="1" spans="1:6">
      <c r="A392" s="9">
        <v>389</v>
      </c>
      <c r="B392" s="10" t="s">
        <v>259</v>
      </c>
      <c r="C392" s="10" t="s">
        <v>9</v>
      </c>
      <c r="D392" s="10" t="s">
        <v>398</v>
      </c>
      <c r="E392" s="10" t="str">
        <f>"644020240512140732169477"</f>
        <v>644020240512140732169477</v>
      </c>
      <c r="F392" s="9"/>
    </row>
    <row r="393" s="2" customFormat="1" ht="30" customHeight="1" spans="1:6">
      <c r="A393" s="9">
        <v>390</v>
      </c>
      <c r="B393" s="10" t="s">
        <v>259</v>
      </c>
      <c r="C393" s="10" t="s">
        <v>9</v>
      </c>
      <c r="D393" s="10" t="s">
        <v>399</v>
      </c>
      <c r="E393" s="10" t="str">
        <f>"644020240515123217181375"</f>
        <v>644020240515123217181375</v>
      </c>
      <c r="F393" s="9"/>
    </row>
    <row r="394" s="2" customFormat="1" ht="30" customHeight="1" spans="1:6">
      <c r="A394" s="9">
        <v>391</v>
      </c>
      <c r="B394" s="10" t="s">
        <v>259</v>
      </c>
      <c r="C394" s="10" t="s">
        <v>9</v>
      </c>
      <c r="D394" s="10" t="s">
        <v>400</v>
      </c>
      <c r="E394" s="10" t="str">
        <f>"644020240515140326181519"</f>
        <v>644020240515140326181519</v>
      </c>
      <c r="F394" s="9"/>
    </row>
    <row r="395" s="2" customFormat="1" ht="30" customHeight="1" spans="1:6">
      <c r="A395" s="9">
        <v>392</v>
      </c>
      <c r="B395" s="10" t="s">
        <v>259</v>
      </c>
      <c r="C395" s="10" t="s">
        <v>9</v>
      </c>
      <c r="D395" s="10" t="s">
        <v>401</v>
      </c>
      <c r="E395" s="10" t="str">
        <f>"644020240515100825180971"</f>
        <v>644020240515100825180971</v>
      </c>
      <c r="F395" s="9"/>
    </row>
    <row r="396" s="2" customFormat="1" ht="30" customHeight="1" spans="1:6">
      <c r="A396" s="9">
        <v>393</v>
      </c>
      <c r="B396" s="10" t="s">
        <v>259</v>
      </c>
      <c r="C396" s="10" t="s">
        <v>9</v>
      </c>
      <c r="D396" s="10" t="s">
        <v>402</v>
      </c>
      <c r="E396" s="10" t="str">
        <f>"644020240513144122175045"</f>
        <v>644020240513144122175045</v>
      </c>
      <c r="F396" s="9"/>
    </row>
    <row r="397" s="2" customFormat="1" ht="30" customHeight="1" spans="1:6">
      <c r="A397" s="9">
        <v>394</v>
      </c>
      <c r="B397" s="10" t="s">
        <v>259</v>
      </c>
      <c r="C397" s="10" t="s">
        <v>9</v>
      </c>
      <c r="D397" s="10" t="s">
        <v>403</v>
      </c>
      <c r="E397" s="10" t="str">
        <f>"644020240515150854181637"</f>
        <v>644020240515150854181637</v>
      </c>
      <c r="F397" s="9"/>
    </row>
    <row r="398" s="2" customFormat="1" ht="30" customHeight="1" spans="1:6">
      <c r="A398" s="9">
        <v>395</v>
      </c>
      <c r="B398" s="10" t="s">
        <v>259</v>
      </c>
      <c r="C398" s="10" t="s">
        <v>9</v>
      </c>
      <c r="D398" s="10" t="s">
        <v>404</v>
      </c>
      <c r="E398" s="10" t="str">
        <f>"644020240515154152181727"</f>
        <v>644020240515154152181727</v>
      </c>
      <c r="F398" s="9"/>
    </row>
    <row r="399" s="2" customFormat="1" ht="30" customHeight="1" spans="1:6">
      <c r="A399" s="9">
        <v>396</v>
      </c>
      <c r="B399" s="10" t="s">
        <v>259</v>
      </c>
      <c r="C399" s="10" t="s">
        <v>9</v>
      </c>
      <c r="D399" s="10" t="s">
        <v>405</v>
      </c>
      <c r="E399" s="10" t="str">
        <f>"644020240515092822180849"</f>
        <v>644020240515092822180849</v>
      </c>
      <c r="F399" s="9"/>
    </row>
    <row r="400" s="2" customFormat="1" ht="30" customHeight="1" spans="1:6">
      <c r="A400" s="9">
        <v>397</v>
      </c>
      <c r="B400" s="10" t="s">
        <v>259</v>
      </c>
      <c r="C400" s="10" t="s">
        <v>9</v>
      </c>
      <c r="D400" s="10" t="s">
        <v>406</v>
      </c>
      <c r="E400" s="10" t="str">
        <f>"644020240514151058179239"</f>
        <v>644020240514151058179239</v>
      </c>
      <c r="F400" s="9"/>
    </row>
    <row r="401" s="2" customFormat="1" ht="30" customHeight="1" spans="1:6">
      <c r="A401" s="9">
        <v>398</v>
      </c>
      <c r="B401" s="10" t="s">
        <v>259</v>
      </c>
      <c r="C401" s="10" t="s">
        <v>9</v>
      </c>
      <c r="D401" s="10" t="s">
        <v>407</v>
      </c>
      <c r="E401" s="10" t="str">
        <f>"644020240514204625180065"</f>
        <v>644020240514204625180065</v>
      </c>
      <c r="F401" s="9"/>
    </row>
    <row r="402" s="2" customFormat="1" ht="30" customHeight="1" spans="1:6">
      <c r="A402" s="9">
        <v>399</v>
      </c>
      <c r="B402" s="10" t="s">
        <v>259</v>
      </c>
      <c r="C402" s="10" t="s">
        <v>9</v>
      </c>
      <c r="D402" s="10" t="s">
        <v>408</v>
      </c>
      <c r="E402" s="10" t="str">
        <f>"644020240515163007181857"</f>
        <v>644020240515163007181857</v>
      </c>
      <c r="F402" s="9"/>
    </row>
    <row r="403" s="2" customFormat="1" ht="30" customHeight="1" spans="1:6">
      <c r="A403" s="9">
        <v>400</v>
      </c>
      <c r="B403" s="10" t="s">
        <v>259</v>
      </c>
      <c r="C403" s="10" t="s">
        <v>9</v>
      </c>
      <c r="D403" s="10" t="s">
        <v>409</v>
      </c>
      <c r="E403" s="10" t="str">
        <f>"644020240515164311181906"</f>
        <v>644020240515164311181906</v>
      </c>
      <c r="F403" s="9"/>
    </row>
    <row r="404" s="2" customFormat="1" ht="30" customHeight="1" spans="1:6">
      <c r="A404" s="9">
        <v>401</v>
      </c>
      <c r="B404" s="10" t="s">
        <v>259</v>
      </c>
      <c r="C404" s="10" t="s">
        <v>9</v>
      </c>
      <c r="D404" s="10" t="s">
        <v>410</v>
      </c>
      <c r="E404" s="10" t="str">
        <f>"644020240515160536181798"</f>
        <v>644020240515160536181798</v>
      </c>
      <c r="F404" s="9"/>
    </row>
    <row r="405" s="2" customFormat="1" ht="30" customHeight="1" spans="1:6">
      <c r="A405" s="9">
        <v>402</v>
      </c>
      <c r="B405" s="10" t="s">
        <v>259</v>
      </c>
      <c r="C405" s="10" t="s">
        <v>9</v>
      </c>
      <c r="D405" s="10" t="s">
        <v>411</v>
      </c>
      <c r="E405" s="10" t="str">
        <f>"644020240515171809181989"</f>
        <v>644020240515171809181989</v>
      </c>
      <c r="F405" s="9"/>
    </row>
    <row r="406" s="2" customFormat="1" ht="30" customHeight="1" spans="1:6">
      <c r="A406" s="9">
        <v>403</v>
      </c>
      <c r="B406" s="10" t="s">
        <v>259</v>
      </c>
      <c r="C406" s="10" t="s">
        <v>9</v>
      </c>
      <c r="D406" s="10" t="s">
        <v>412</v>
      </c>
      <c r="E406" s="10" t="str">
        <f>"644020240515105916181142"</f>
        <v>644020240515105916181142</v>
      </c>
      <c r="F406" s="9"/>
    </row>
    <row r="407" s="2" customFormat="1" ht="30" customHeight="1" spans="1:6">
      <c r="A407" s="9">
        <v>404</v>
      </c>
      <c r="B407" s="10" t="s">
        <v>259</v>
      </c>
      <c r="C407" s="10" t="s">
        <v>9</v>
      </c>
      <c r="D407" s="10" t="s">
        <v>413</v>
      </c>
      <c r="E407" s="10" t="str">
        <f>"644020240514223557180392"</f>
        <v>644020240514223557180392</v>
      </c>
      <c r="F407" s="9"/>
    </row>
    <row r="408" s="2" customFormat="1" ht="30" customHeight="1" spans="1:6">
      <c r="A408" s="9">
        <v>405</v>
      </c>
      <c r="B408" s="10" t="s">
        <v>259</v>
      </c>
      <c r="C408" s="10" t="s">
        <v>9</v>
      </c>
      <c r="D408" s="10" t="s">
        <v>414</v>
      </c>
      <c r="E408" s="10" t="str">
        <f>"644020240515134415181491"</f>
        <v>644020240515134415181491</v>
      </c>
      <c r="F408" s="9"/>
    </row>
    <row r="409" s="2" customFormat="1" ht="30" customHeight="1" spans="1:6">
      <c r="A409" s="9">
        <v>406</v>
      </c>
      <c r="B409" s="10" t="s">
        <v>259</v>
      </c>
      <c r="C409" s="10" t="s">
        <v>9</v>
      </c>
      <c r="D409" s="10" t="s">
        <v>415</v>
      </c>
      <c r="E409" s="10" t="str">
        <f>"644020240515200233182219"</f>
        <v>644020240515200233182219</v>
      </c>
      <c r="F409" s="9"/>
    </row>
    <row r="410" s="2" customFormat="1" ht="30" customHeight="1" spans="1:6">
      <c r="A410" s="9">
        <v>407</v>
      </c>
      <c r="B410" s="10" t="s">
        <v>259</v>
      </c>
      <c r="C410" s="10" t="s">
        <v>9</v>
      </c>
      <c r="D410" s="10" t="s">
        <v>416</v>
      </c>
      <c r="E410" s="10" t="str">
        <f>"644020240515201622182239"</f>
        <v>644020240515201622182239</v>
      </c>
      <c r="F410" s="9"/>
    </row>
    <row r="411" s="2" customFormat="1" ht="30" customHeight="1" spans="1:6">
      <c r="A411" s="9">
        <v>408</v>
      </c>
      <c r="B411" s="10" t="s">
        <v>259</v>
      </c>
      <c r="C411" s="10" t="s">
        <v>9</v>
      </c>
      <c r="D411" s="10" t="s">
        <v>417</v>
      </c>
      <c r="E411" s="10" t="str">
        <f>"644020240515220214182328"</f>
        <v>644020240515220214182328</v>
      </c>
      <c r="F411" s="9"/>
    </row>
    <row r="412" s="2" customFormat="1" ht="30" customHeight="1" spans="1:6">
      <c r="A412" s="9">
        <v>409</v>
      </c>
      <c r="B412" s="10" t="s">
        <v>259</v>
      </c>
      <c r="C412" s="10" t="s">
        <v>9</v>
      </c>
      <c r="D412" s="10" t="s">
        <v>418</v>
      </c>
      <c r="E412" s="10" t="str">
        <f>"644020240515223059182426"</f>
        <v>644020240515223059182426</v>
      </c>
      <c r="F412" s="9"/>
    </row>
    <row r="413" s="2" customFormat="1" ht="30" customHeight="1" spans="1:6">
      <c r="A413" s="9">
        <v>410</v>
      </c>
      <c r="B413" s="10" t="s">
        <v>259</v>
      </c>
      <c r="C413" s="10" t="s">
        <v>9</v>
      </c>
      <c r="D413" s="10" t="s">
        <v>419</v>
      </c>
      <c r="E413" s="10" t="str">
        <f>"644020240515225924182508"</f>
        <v>644020240515225924182508</v>
      </c>
      <c r="F413" s="9"/>
    </row>
    <row r="414" s="2" customFormat="1" ht="30" customHeight="1" spans="1:6">
      <c r="A414" s="9">
        <v>411</v>
      </c>
      <c r="B414" s="10" t="s">
        <v>259</v>
      </c>
      <c r="C414" s="10" t="s">
        <v>9</v>
      </c>
      <c r="D414" s="10" t="s">
        <v>420</v>
      </c>
      <c r="E414" s="10" t="str">
        <f>"644020240515231022182532"</f>
        <v>644020240515231022182532</v>
      </c>
      <c r="F414" s="9"/>
    </row>
    <row r="415" s="2" customFormat="1" ht="30" customHeight="1" spans="1:6">
      <c r="A415" s="9">
        <v>412</v>
      </c>
      <c r="B415" s="10" t="s">
        <v>259</v>
      </c>
      <c r="C415" s="10" t="s">
        <v>9</v>
      </c>
      <c r="D415" s="10" t="s">
        <v>421</v>
      </c>
      <c r="E415" s="10" t="str">
        <f>"644020240515225131182478"</f>
        <v>644020240515225131182478</v>
      </c>
      <c r="F415" s="9"/>
    </row>
    <row r="416" s="2" customFormat="1" ht="30" customHeight="1" spans="1:6">
      <c r="A416" s="9">
        <v>413</v>
      </c>
      <c r="B416" s="10" t="s">
        <v>259</v>
      </c>
      <c r="C416" s="10" t="s">
        <v>9</v>
      </c>
      <c r="D416" s="10" t="s">
        <v>422</v>
      </c>
      <c r="E416" s="10" t="str">
        <f>"644020240515222613182413"</f>
        <v>644020240515222613182413</v>
      </c>
      <c r="F416" s="9"/>
    </row>
    <row r="417" s="2" customFormat="1" ht="30" customHeight="1" spans="1:6">
      <c r="A417" s="9">
        <v>414</v>
      </c>
      <c r="B417" s="10" t="s">
        <v>259</v>
      </c>
      <c r="C417" s="10" t="s">
        <v>9</v>
      </c>
      <c r="D417" s="10" t="s">
        <v>423</v>
      </c>
      <c r="E417" s="10" t="str">
        <f>"644020240513234113177605"</f>
        <v>644020240513234113177605</v>
      </c>
      <c r="F417" s="9"/>
    </row>
    <row r="418" s="2" customFormat="1" ht="30" customHeight="1" spans="1:6">
      <c r="A418" s="9">
        <v>415</v>
      </c>
      <c r="B418" s="10" t="s">
        <v>259</v>
      </c>
      <c r="C418" s="10" t="s">
        <v>9</v>
      </c>
      <c r="D418" s="10" t="s">
        <v>424</v>
      </c>
      <c r="E418" s="10" t="str">
        <f>"644020240515102003181003"</f>
        <v>644020240515102003181003</v>
      </c>
      <c r="F418" s="9"/>
    </row>
    <row r="419" s="2" customFormat="1" ht="30" customHeight="1" spans="1:6">
      <c r="A419" s="9">
        <v>416</v>
      </c>
      <c r="B419" s="10" t="s">
        <v>259</v>
      </c>
      <c r="C419" s="10" t="s">
        <v>9</v>
      </c>
      <c r="D419" s="10" t="s">
        <v>425</v>
      </c>
      <c r="E419" s="10" t="str">
        <f>"644020240516001948182657"</f>
        <v>644020240516001948182657</v>
      </c>
      <c r="F419" s="9"/>
    </row>
    <row r="420" s="2" customFormat="1" ht="30" customHeight="1" spans="1:6">
      <c r="A420" s="9">
        <v>417</v>
      </c>
      <c r="B420" s="10" t="s">
        <v>259</v>
      </c>
      <c r="C420" s="10" t="s">
        <v>9</v>
      </c>
      <c r="D420" s="10" t="s">
        <v>426</v>
      </c>
      <c r="E420" s="10" t="str">
        <f>"644020240516004052182666"</f>
        <v>644020240516004052182666</v>
      </c>
      <c r="F420" s="9"/>
    </row>
    <row r="421" s="2" customFormat="1" ht="30" customHeight="1" spans="1:6">
      <c r="A421" s="9">
        <v>418</v>
      </c>
      <c r="B421" s="10" t="s">
        <v>259</v>
      </c>
      <c r="C421" s="10" t="s">
        <v>9</v>
      </c>
      <c r="D421" s="10" t="s">
        <v>427</v>
      </c>
      <c r="E421" s="10" t="str">
        <f>"644020240515142620181557"</f>
        <v>644020240515142620181557</v>
      </c>
      <c r="F421" s="9"/>
    </row>
    <row r="422" s="2" customFormat="1" ht="30" customHeight="1" spans="1:6">
      <c r="A422" s="9">
        <v>419</v>
      </c>
      <c r="B422" s="10" t="s">
        <v>259</v>
      </c>
      <c r="C422" s="10" t="s">
        <v>9</v>
      </c>
      <c r="D422" s="10" t="s">
        <v>428</v>
      </c>
      <c r="E422" s="10" t="str">
        <f>"644020240516001410182648"</f>
        <v>644020240516001410182648</v>
      </c>
      <c r="F422" s="9"/>
    </row>
    <row r="423" s="2" customFormat="1" ht="30" customHeight="1" spans="1:6">
      <c r="A423" s="9">
        <v>420</v>
      </c>
      <c r="B423" s="10" t="s">
        <v>259</v>
      </c>
      <c r="C423" s="10" t="s">
        <v>9</v>
      </c>
      <c r="D423" s="10" t="s">
        <v>429</v>
      </c>
      <c r="E423" s="10" t="str">
        <f>"644020240516060246182710"</f>
        <v>644020240516060246182710</v>
      </c>
      <c r="F423" s="9"/>
    </row>
    <row r="424" s="2" customFormat="1" ht="30" customHeight="1" spans="1:6">
      <c r="A424" s="9">
        <v>421</v>
      </c>
      <c r="B424" s="10" t="s">
        <v>259</v>
      </c>
      <c r="C424" s="10" t="s">
        <v>9</v>
      </c>
      <c r="D424" s="10" t="s">
        <v>430</v>
      </c>
      <c r="E424" s="10" t="str">
        <f>"644020240516082303182761"</f>
        <v>644020240516082303182761</v>
      </c>
      <c r="F424" s="9"/>
    </row>
    <row r="425" s="2" customFormat="1" ht="30" customHeight="1" spans="1:6">
      <c r="A425" s="9">
        <v>422</v>
      </c>
      <c r="B425" s="10" t="s">
        <v>259</v>
      </c>
      <c r="C425" s="10" t="s">
        <v>9</v>
      </c>
      <c r="D425" s="10" t="s">
        <v>431</v>
      </c>
      <c r="E425" s="10" t="str">
        <f>"644020240516082714182769"</f>
        <v>644020240516082714182769</v>
      </c>
      <c r="F425" s="9"/>
    </row>
    <row r="426" s="2" customFormat="1" ht="30" customHeight="1" spans="1:6">
      <c r="A426" s="9">
        <v>423</v>
      </c>
      <c r="B426" s="10" t="s">
        <v>259</v>
      </c>
      <c r="C426" s="10" t="s">
        <v>9</v>
      </c>
      <c r="D426" s="10" t="s">
        <v>432</v>
      </c>
      <c r="E426" s="10" t="str">
        <f>"644020240515225039182474"</f>
        <v>644020240515225039182474</v>
      </c>
      <c r="F426" s="9"/>
    </row>
    <row r="427" s="2" customFormat="1" ht="30" customHeight="1" spans="1:6">
      <c r="A427" s="9">
        <v>424</v>
      </c>
      <c r="B427" s="10" t="s">
        <v>259</v>
      </c>
      <c r="C427" s="10" t="s">
        <v>9</v>
      </c>
      <c r="D427" s="10" t="s">
        <v>433</v>
      </c>
      <c r="E427" s="10" t="str">
        <f>"644020240516084516182792"</f>
        <v>644020240516084516182792</v>
      </c>
      <c r="F427" s="9"/>
    </row>
    <row r="428" s="2" customFormat="1" ht="30" customHeight="1" spans="1:6">
      <c r="A428" s="9">
        <v>425</v>
      </c>
      <c r="B428" s="10" t="s">
        <v>259</v>
      </c>
      <c r="C428" s="10" t="s">
        <v>9</v>
      </c>
      <c r="D428" s="10" t="s">
        <v>434</v>
      </c>
      <c r="E428" s="10" t="str">
        <f>"644020240516092056182854"</f>
        <v>644020240516092056182854</v>
      </c>
      <c r="F428" s="9"/>
    </row>
    <row r="429" s="2" customFormat="1" ht="30" customHeight="1" spans="1:6">
      <c r="A429" s="9">
        <v>426</v>
      </c>
      <c r="B429" s="10" t="s">
        <v>259</v>
      </c>
      <c r="C429" s="10" t="s">
        <v>9</v>
      </c>
      <c r="D429" s="10" t="s">
        <v>435</v>
      </c>
      <c r="E429" s="10" t="str">
        <f>"644020240515090851180788"</f>
        <v>644020240515090851180788</v>
      </c>
      <c r="F429" s="9"/>
    </row>
    <row r="430" s="2" customFormat="1" ht="30" customHeight="1" spans="1:6">
      <c r="A430" s="9">
        <v>427</v>
      </c>
      <c r="B430" s="10" t="s">
        <v>259</v>
      </c>
      <c r="C430" s="10" t="s">
        <v>9</v>
      </c>
      <c r="D430" s="10" t="s">
        <v>436</v>
      </c>
      <c r="E430" s="10" t="str">
        <f>"644020240516094701182916"</f>
        <v>644020240516094701182916</v>
      </c>
      <c r="F430" s="9"/>
    </row>
    <row r="431" s="2" customFormat="1" ht="30" customHeight="1" spans="1:6">
      <c r="A431" s="9">
        <v>428</v>
      </c>
      <c r="B431" s="10" t="s">
        <v>259</v>
      </c>
      <c r="C431" s="10" t="s">
        <v>9</v>
      </c>
      <c r="D431" s="10" t="s">
        <v>437</v>
      </c>
      <c r="E431" s="10" t="str">
        <f>"644020240516094738182918"</f>
        <v>644020240516094738182918</v>
      </c>
      <c r="F431" s="9"/>
    </row>
    <row r="432" s="2" customFormat="1" ht="30" customHeight="1" spans="1:6">
      <c r="A432" s="9">
        <v>429</v>
      </c>
      <c r="B432" s="10" t="s">
        <v>259</v>
      </c>
      <c r="C432" s="10" t="s">
        <v>9</v>
      </c>
      <c r="D432" s="10" t="s">
        <v>438</v>
      </c>
      <c r="E432" s="10" t="str">
        <f>"644020240516100914182975"</f>
        <v>644020240516100914182975</v>
      </c>
      <c r="F432" s="9"/>
    </row>
    <row r="433" s="2" customFormat="1" ht="30" customHeight="1" spans="1:6">
      <c r="A433" s="9">
        <v>430</v>
      </c>
      <c r="B433" s="10" t="s">
        <v>259</v>
      </c>
      <c r="C433" s="10" t="s">
        <v>9</v>
      </c>
      <c r="D433" s="10" t="s">
        <v>439</v>
      </c>
      <c r="E433" s="10" t="str">
        <f>"644020240516105909183099"</f>
        <v>644020240516105909183099</v>
      </c>
      <c r="F433" s="9"/>
    </row>
    <row r="434" s="2" customFormat="1" ht="30" customHeight="1" spans="1:6">
      <c r="A434" s="9">
        <v>431</v>
      </c>
      <c r="B434" s="10" t="s">
        <v>259</v>
      </c>
      <c r="C434" s="10" t="s">
        <v>9</v>
      </c>
      <c r="D434" s="10" t="s">
        <v>440</v>
      </c>
      <c r="E434" s="10" t="str">
        <f>"644020240516105339183088"</f>
        <v>644020240516105339183088</v>
      </c>
      <c r="F434" s="9"/>
    </row>
    <row r="435" s="2" customFormat="1" ht="30" customHeight="1" spans="1:6">
      <c r="A435" s="9">
        <v>432</v>
      </c>
      <c r="B435" s="10" t="s">
        <v>259</v>
      </c>
      <c r="C435" s="10" t="s">
        <v>9</v>
      </c>
      <c r="D435" s="10" t="s">
        <v>441</v>
      </c>
      <c r="E435" s="10" t="str">
        <f>"644020240516113754183188"</f>
        <v>644020240516113754183188</v>
      </c>
      <c r="F435" s="9"/>
    </row>
    <row r="436" s="2" customFormat="1" ht="30" customHeight="1" spans="1:6">
      <c r="A436" s="9">
        <v>433</v>
      </c>
      <c r="B436" s="10" t="s">
        <v>259</v>
      </c>
      <c r="C436" s="10" t="s">
        <v>9</v>
      </c>
      <c r="D436" s="10" t="s">
        <v>442</v>
      </c>
      <c r="E436" s="10" t="str">
        <f>"644020240516120010183224"</f>
        <v>644020240516120010183224</v>
      </c>
      <c r="F436" s="9"/>
    </row>
    <row r="437" s="2" customFormat="1" ht="30" customHeight="1" spans="1:6">
      <c r="A437" s="9">
        <v>434</v>
      </c>
      <c r="B437" s="10" t="s">
        <v>259</v>
      </c>
      <c r="C437" s="10" t="s">
        <v>9</v>
      </c>
      <c r="D437" s="10" t="s">
        <v>443</v>
      </c>
      <c r="E437" s="10" t="str">
        <f>"644020240515101415180985"</f>
        <v>644020240515101415180985</v>
      </c>
      <c r="F437" s="9"/>
    </row>
    <row r="438" s="2" customFormat="1" ht="30" customHeight="1" spans="1:6">
      <c r="A438" s="9">
        <v>435</v>
      </c>
      <c r="B438" s="10" t="s">
        <v>259</v>
      </c>
      <c r="C438" s="10" t="s">
        <v>9</v>
      </c>
      <c r="D438" s="10" t="s">
        <v>444</v>
      </c>
      <c r="E438" s="10" t="str">
        <f>"644020240516125649183325"</f>
        <v>644020240516125649183325</v>
      </c>
      <c r="F438" s="9"/>
    </row>
    <row r="439" s="2" customFormat="1" ht="30" customHeight="1" spans="1:6">
      <c r="A439" s="9">
        <v>436</v>
      </c>
      <c r="B439" s="10" t="s">
        <v>259</v>
      </c>
      <c r="C439" s="10" t="s">
        <v>9</v>
      </c>
      <c r="D439" s="10" t="s">
        <v>445</v>
      </c>
      <c r="E439" s="10" t="str">
        <f>"644020240516131224183352"</f>
        <v>644020240516131224183352</v>
      </c>
      <c r="F439" s="9"/>
    </row>
    <row r="440" s="2" customFormat="1" ht="30" customHeight="1" spans="1:6">
      <c r="A440" s="9">
        <v>437</v>
      </c>
      <c r="B440" s="10" t="s">
        <v>259</v>
      </c>
      <c r="C440" s="10" t="s">
        <v>9</v>
      </c>
      <c r="D440" s="10" t="s">
        <v>446</v>
      </c>
      <c r="E440" s="10" t="str">
        <f>"644020240514233400180529"</f>
        <v>644020240514233400180529</v>
      </c>
      <c r="F440" s="9"/>
    </row>
    <row r="441" s="2" customFormat="1" ht="30" customHeight="1" spans="1:6">
      <c r="A441" s="9">
        <v>438</v>
      </c>
      <c r="B441" s="10" t="s">
        <v>259</v>
      </c>
      <c r="C441" s="10" t="s">
        <v>9</v>
      </c>
      <c r="D441" s="10" t="s">
        <v>447</v>
      </c>
      <c r="E441" s="10" t="str">
        <f>"644020240516154845183585"</f>
        <v>644020240516154845183585</v>
      </c>
      <c r="F441" s="9"/>
    </row>
    <row r="442" s="2" customFormat="1" ht="30" customHeight="1" spans="1:6">
      <c r="A442" s="9">
        <v>439</v>
      </c>
      <c r="B442" s="10" t="s">
        <v>259</v>
      </c>
      <c r="C442" s="10" t="s">
        <v>9</v>
      </c>
      <c r="D442" s="10" t="s">
        <v>448</v>
      </c>
      <c r="E442" s="10" t="str">
        <f>"644020240516171112183792"</f>
        <v>644020240516171112183792</v>
      </c>
      <c r="F442" s="9"/>
    </row>
    <row r="443" s="2" customFormat="1" ht="30" customHeight="1" spans="1:6">
      <c r="A443" s="9">
        <v>440</v>
      </c>
      <c r="B443" s="10" t="s">
        <v>259</v>
      </c>
      <c r="C443" s="10" t="s">
        <v>9</v>
      </c>
      <c r="D443" s="10" t="s">
        <v>449</v>
      </c>
      <c r="E443" s="10" t="str">
        <f>"644020240516170226183774"</f>
        <v>644020240516170226183774</v>
      </c>
      <c r="F443" s="9"/>
    </row>
    <row r="444" s="2" customFormat="1" ht="30" customHeight="1" spans="1:6">
      <c r="A444" s="9">
        <v>441</v>
      </c>
      <c r="B444" s="10" t="s">
        <v>259</v>
      </c>
      <c r="C444" s="10" t="s">
        <v>9</v>
      </c>
      <c r="D444" s="10" t="s">
        <v>450</v>
      </c>
      <c r="E444" s="10" t="str">
        <f>"644020240516114641183201"</f>
        <v>644020240516114641183201</v>
      </c>
      <c r="F444" s="9"/>
    </row>
    <row r="445" s="2" customFormat="1" ht="30" customHeight="1" spans="1:6">
      <c r="A445" s="9">
        <v>442</v>
      </c>
      <c r="B445" s="10" t="s">
        <v>259</v>
      </c>
      <c r="C445" s="10" t="s">
        <v>9</v>
      </c>
      <c r="D445" s="10" t="s">
        <v>451</v>
      </c>
      <c r="E445" s="10" t="str">
        <f>"644020240516155148183591"</f>
        <v>644020240516155148183591</v>
      </c>
      <c r="F445" s="9"/>
    </row>
    <row r="446" s="2" customFormat="1" ht="30" customHeight="1" spans="1:6">
      <c r="A446" s="9">
        <v>443</v>
      </c>
      <c r="B446" s="10" t="s">
        <v>259</v>
      </c>
      <c r="C446" s="10" t="s">
        <v>9</v>
      </c>
      <c r="D446" s="10" t="s">
        <v>452</v>
      </c>
      <c r="E446" s="10" t="str">
        <f>"644020240513184215176454"</f>
        <v>644020240513184215176454</v>
      </c>
      <c r="F446" s="9"/>
    </row>
    <row r="447" s="2" customFormat="1" ht="30" customHeight="1" spans="1:6">
      <c r="A447" s="9">
        <v>444</v>
      </c>
      <c r="B447" s="10" t="s">
        <v>259</v>
      </c>
      <c r="C447" s="10" t="s">
        <v>9</v>
      </c>
      <c r="D447" s="10" t="s">
        <v>453</v>
      </c>
      <c r="E447" s="10" t="str">
        <f>"644020240516180511183889"</f>
        <v>644020240516180511183889</v>
      </c>
      <c r="F447" s="9"/>
    </row>
    <row r="448" s="2" customFormat="1" ht="30" customHeight="1" spans="1:6">
      <c r="A448" s="9">
        <v>445</v>
      </c>
      <c r="B448" s="10" t="s">
        <v>259</v>
      </c>
      <c r="C448" s="10" t="s">
        <v>9</v>
      </c>
      <c r="D448" s="10" t="s">
        <v>454</v>
      </c>
      <c r="E448" s="10" t="str">
        <f>"644020240515083227180700"</f>
        <v>644020240515083227180700</v>
      </c>
      <c r="F448" s="9"/>
    </row>
    <row r="449" s="2" customFormat="1" ht="30" customHeight="1" spans="1:6">
      <c r="A449" s="9">
        <v>446</v>
      </c>
      <c r="B449" s="10" t="s">
        <v>259</v>
      </c>
      <c r="C449" s="10" t="s">
        <v>9</v>
      </c>
      <c r="D449" s="10" t="s">
        <v>455</v>
      </c>
      <c r="E449" s="10" t="str">
        <f>"644020240516165435183756"</f>
        <v>644020240516165435183756</v>
      </c>
      <c r="F449" s="9"/>
    </row>
    <row r="450" s="2" customFormat="1" ht="30" customHeight="1" spans="1:6">
      <c r="A450" s="9">
        <v>447</v>
      </c>
      <c r="B450" s="10" t="s">
        <v>259</v>
      </c>
      <c r="C450" s="10" t="s">
        <v>9</v>
      </c>
      <c r="D450" s="10" t="s">
        <v>456</v>
      </c>
      <c r="E450" s="10" t="str">
        <f>"644020240515121724181353"</f>
        <v>644020240515121724181353</v>
      </c>
      <c r="F450" s="9"/>
    </row>
    <row r="451" s="2" customFormat="1" ht="30" customHeight="1" spans="1:6">
      <c r="A451" s="9">
        <v>448</v>
      </c>
      <c r="B451" s="10" t="s">
        <v>259</v>
      </c>
      <c r="C451" s="10" t="s">
        <v>9</v>
      </c>
      <c r="D451" s="10" t="s">
        <v>457</v>
      </c>
      <c r="E451" s="10" t="str">
        <f>"644020240516105249183085"</f>
        <v>644020240516105249183085</v>
      </c>
      <c r="F451" s="9"/>
    </row>
    <row r="452" s="2" customFormat="1" ht="30" customHeight="1" spans="1:6">
      <c r="A452" s="9">
        <v>449</v>
      </c>
      <c r="B452" s="10" t="s">
        <v>259</v>
      </c>
      <c r="C452" s="10" t="s">
        <v>9</v>
      </c>
      <c r="D452" s="10" t="s">
        <v>458</v>
      </c>
      <c r="E452" s="10" t="str">
        <f>"644020240516183527183943"</f>
        <v>644020240516183527183943</v>
      </c>
      <c r="F452" s="9"/>
    </row>
    <row r="453" s="2" customFormat="1" ht="30" customHeight="1" spans="1:6">
      <c r="A453" s="9">
        <v>450</v>
      </c>
      <c r="B453" s="10" t="s">
        <v>259</v>
      </c>
      <c r="C453" s="10" t="s">
        <v>9</v>
      </c>
      <c r="D453" s="10" t="s">
        <v>459</v>
      </c>
      <c r="E453" s="10" t="str">
        <f>"644020240516162832183693"</f>
        <v>644020240516162832183693</v>
      </c>
      <c r="F453" s="9"/>
    </row>
    <row r="454" s="2" customFormat="1" ht="30" customHeight="1" spans="1:6">
      <c r="A454" s="9">
        <v>451</v>
      </c>
      <c r="B454" s="10" t="s">
        <v>259</v>
      </c>
      <c r="C454" s="10" t="s">
        <v>9</v>
      </c>
      <c r="D454" s="10" t="s">
        <v>460</v>
      </c>
      <c r="E454" s="10" t="str">
        <f>"644020240516203817184085"</f>
        <v>644020240516203817184085</v>
      </c>
      <c r="F454" s="9"/>
    </row>
    <row r="455" s="2" customFormat="1" ht="30" customHeight="1" spans="1:6">
      <c r="A455" s="9">
        <v>452</v>
      </c>
      <c r="B455" s="10" t="s">
        <v>259</v>
      </c>
      <c r="C455" s="10" t="s">
        <v>9</v>
      </c>
      <c r="D455" s="10" t="s">
        <v>461</v>
      </c>
      <c r="E455" s="10" t="str">
        <f>"644020240516114513183198"</f>
        <v>644020240516114513183198</v>
      </c>
      <c r="F455" s="9"/>
    </row>
    <row r="456" s="2" customFormat="1" ht="30" customHeight="1" spans="1:6">
      <c r="A456" s="9">
        <v>453</v>
      </c>
      <c r="B456" s="10" t="s">
        <v>259</v>
      </c>
      <c r="C456" s="10" t="s">
        <v>9</v>
      </c>
      <c r="D456" s="10" t="s">
        <v>462</v>
      </c>
      <c r="E456" s="10" t="str">
        <f>"644020240514094030178172"</f>
        <v>644020240514094030178172</v>
      </c>
      <c r="F456" s="9"/>
    </row>
    <row r="457" s="2" customFormat="1" ht="30" customHeight="1" spans="1:6">
      <c r="A457" s="9">
        <v>454</v>
      </c>
      <c r="B457" s="10" t="s">
        <v>259</v>
      </c>
      <c r="C457" s="10" t="s">
        <v>9</v>
      </c>
      <c r="D457" s="10" t="s">
        <v>463</v>
      </c>
      <c r="E457" s="10" t="str">
        <f>"644020240516104936183076"</f>
        <v>644020240516104936183076</v>
      </c>
      <c r="F457" s="9"/>
    </row>
    <row r="458" s="2" customFormat="1" ht="30" customHeight="1" spans="1:6">
      <c r="A458" s="9">
        <v>455</v>
      </c>
      <c r="B458" s="10" t="s">
        <v>259</v>
      </c>
      <c r="C458" s="10" t="s">
        <v>9</v>
      </c>
      <c r="D458" s="10" t="s">
        <v>464</v>
      </c>
      <c r="E458" s="10" t="str">
        <f>"644020240516084845182795"</f>
        <v>644020240516084845182795</v>
      </c>
      <c r="F458" s="9"/>
    </row>
    <row r="459" s="2" customFormat="1" ht="30" customHeight="1" spans="1:6">
      <c r="A459" s="9">
        <v>456</v>
      </c>
      <c r="B459" s="10" t="s">
        <v>259</v>
      </c>
      <c r="C459" s="10" t="s">
        <v>9</v>
      </c>
      <c r="D459" s="10" t="s">
        <v>465</v>
      </c>
      <c r="E459" s="10" t="str">
        <f>"644020240516213335184145"</f>
        <v>644020240516213335184145</v>
      </c>
      <c r="F459" s="9"/>
    </row>
    <row r="460" s="2" customFormat="1" ht="30" customHeight="1" spans="1:6">
      <c r="A460" s="9">
        <v>457</v>
      </c>
      <c r="B460" s="10" t="s">
        <v>259</v>
      </c>
      <c r="C460" s="10" t="s">
        <v>9</v>
      </c>
      <c r="D460" s="10" t="s">
        <v>466</v>
      </c>
      <c r="E460" s="10" t="str">
        <f>"644020240516213200184143"</f>
        <v>644020240516213200184143</v>
      </c>
      <c r="F460" s="9"/>
    </row>
    <row r="461" s="2" customFormat="1" ht="30" customHeight="1" spans="1:6">
      <c r="A461" s="9">
        <v>458</v>
      </c>
      <c r="B461" s="10" t="s">
        <v>259</v>
      </c>
      <c r="C461" s="10" t="s">
        <v>9</v>
      </c>
      <c r="D461" s="10" t="s">
        <v>467</v>
      </c>
      <c r="E461" s="10" t="str">
        <f>"644020240514184109179847"</f>
        <v>644020240514184109179847</v>
      </c>
      <c r="F461" s="9"/>
    </row>
    <row r="462" s="2" customFormat="1" ht="30" customHeight="1" spans="1:6">
      <c r="A462" s="9">
        <v>459</v>
      </c>
      <c r="B462" s="10" t="s">
        <v>259</v>
      </c>
      <c r="C462" s="10" t="s">
        <v>9</v>
      </c>
      <c r="D462" s="10" t="s">
        <v>468</v>
      </c>
      <c r="E462" s="10" t="str">
        <f>"644020240516214617184182"</f>
        <v>644020240516214617184182</v>
      </c>
      <c r="F462" s="9"/>
    </row>
    <row r="463" s="2" customFormat="1" ht="30" customHeight="1" spans="1:6">
      <c r="A463" s="9">
        <v>460</v>
      </c>
      <c r="B463" s="10" t="s">
        <v>259</v>
      </c>
      <c r="C463" s="10" t="s">
        <v>9</v>
      </c>
      <c r="D463" s="10" t="s">
        <v>469</v>
      </c>
      <c r="E463" s="10" t="str">
        <f>"644020240516220926184242"</f>
        <v>644020240516220926184242</v>
      </c>
      <c r="F463" s="9"/>
    </row>
    <row r="464" s="2" customFormat="1" ht="30" customHeight="1" spans="1:6">
      <c r="A464" s="9">
        <v>461</v>
      </c>
      <c r="B464" s="10" t="s">
        <v>259</v>
      </c>
      <c r="C464" s="10" t="s">
        <v>9</v>
      </c>
      <c r="D464" s="10" t="s">
        <v>470</v>
      </c>
      <c r="E464" s="10" t="str">
        <f>"644020240513214528177147"</f>
        <v>644020240513214528177147</v>
      </c>
      <c r="F464" s="9"/>
    </row>
    <row r="465" s="2" customFormat="1" ht="30" customHeight="1" spans="1:6">
      <c r="A465" s="9">
        <v>462</v>
      </c>
      <c r="B465" s="10" t="s">
        <v>259</v>
      </c>
      <c r="C465" s="10" t="s">
        <v>9</v>
      </c>
      <c r="D465" s="10" t="s">
        <v>471</v>
      </c>
      <c r="E465" s="10" t="str">
        <f>"644020240516222000184269"</f>
        <v>644020240516222000184269</v>
      </c>
      <c r="F465" s="9"/>
    </row>
    <row r="466" s="2" customFormat="1" ht="30" customHeight="1" spans="1:6">
      <c r="A466" s="9">
        <v>463</v>
      </c>
      <c r="B466" s="10" t="s">
        <v>259</v>
      </c>
      <c r="C466" s="10" t="s">
        <v>9</v>
      </c>
      <c r="D466" s="10" t="s">
        <v>472</v>
      </c>
      <c r="E466" s="10" t="str">
        <f>"644020240516222152184274"</f>
        <v>644020240516222152184274</v>
      </c>
      <c r="F466" s="9"/>
    </row>
    <row r="467" s="2" customFormat="1" ht="30" customHeight="1" spans="1:6">
      <c r="A467" s="9">
        <v>464</v>
      </c>
      <c r="B467" s="10" t="s">
        <v>259</v>
      </c>
      <c r="C467" s="10" t="s">
        <v>9</v>
      </c>
      <c r="D467" s="10" t="s">
        <v>473</v>
      </c>
      <c r="E467" s="10" t="str">
        <f>"644020240516225311184342"</f>
        <v>644020240516225311184342</v>
      </c>
      <c r="F467" s="9"/>
    </row>
    <row r="468" s="2" customFormat="1" ht="30" customHeight="1" spans="1:6">
      <c r="A468" s="9">
        <v>465</v>
      </c>
      <c r="B468" s="10" t="s">
        <v>259</v>
      </c>
      <c r="C468" s="10" t="s">
        <v>9</v>
      </c>
      <c r="D468" s="10" t="s">
        <v>474</v>
      </c>
      <c r="E468" s="10" t="str">
        <f>"644020240516110526183115"</f>
        <v>644020240516110526183115</v>
      </c>
      <c r="F468" s="9"/>
    </row>
    <row r="469" s="2" customFormat="1" ht="30" customHeight="1" spans="1:6">
      <c r="A469" s="9">
        <v>466</v>
      </c>
      <c r="B469" s="10" t="s">
        <v>259</v>
      </c>
      <c r="C469" s="10" t="s">
        <v>9</v>
      </c>
      <c r="D469" s="10" t="s">
        <v>475</v>
      </c>
      <c r="E469" s="10" t="str">
        <f>"644020240517002135184489"</f>
        <v>644020240517002135184489</v>
      </c>
      <c r="F469" s="9"/>
    </row>
    <row r="470" s="2" customFormat="1" ht="30" customHeight="1" spans="1:6">
      <c r="A470" s="9">
        <v>467</v>
      </c>
      <c r="B470" s="10" t="s">
        <v>259</v>
      </c>
      <c r="C470" s="10" t="s">
        <v>9</v>
      </c>
      <c r="D470" s="10" t="s">
        <v>476</v>
      </c>
      <c r="E470" s="10" t="str">
        <f>"644020240517002945184495"</f>
        <v>644020240517002945184495</v>
      </c>
      <c r="F470" s="9"/>
    </row>
    <row r="471" s="2" customFormat="1" ht="30" customHeight="1" spans="1:6">
      <c r="A471" s="9">
        <v>468</v>
      </c>
      <c r="B471" s="10" t="s">
        <v>259</v>
      </c>
      <c r="C471" s="10" t="s">
        <v>9</v>
      </c>
      <c r="D471" s="10" t="s">
        <v>477</v>
      </c>
      <c r="E471" s="10" t="str">
        <f>"644020240517000219184463"</f>
        <v>644020240517000219184463</v>
      </c>
      <c r="F471" s="9"/>
    </row>
    <row r="472" s="2" customFormat="1" ht="30" customHeight="1" spans="1:6">
      <c r="A472" s="9">
        <v>469</v>
      </c>
      <c r="B472" s="10" t="s">
        <v>259</v>
      </c>
      <c r="C472" s="10" t="s">
        <v>9</v>
      </c>
      <c r="D472" s="10" t="s">
        <v>478</v>
      </c>
      <c r="E472" s="10" t="str">
        <f>"644020240517083943184648"</f>
        <v>644020240517083943184648</v>
      </c>
      <c r="F472" s="9"/>
    </row>
    <row r="473" s="2" customFormat="1" ht="30" customHeight="1" spans="1:6">
      <c r="A473" s="9">
        <v>470</v>
      </c>
      <c r="B473" s="10" t="s">
        <v>259</v>
      </c>
      <c r="C473" s="10" t="s">
        <v>9</v>
      </c>
      <c r="D473" s="10" t="s">
        <v>479</v>
      </c>
      <c r="E473" s="10" t="str">
        <f>"644020240516160115183618"</f>
        <v>644020240516160115183618</v>
      </c>
      <c r="F473" s="9"/>
    </row>
    <row r="474" s="2" customFormat="1" ht="30" customHeight="1" spans="1:6">
      <c r="A474" s="9">
        <v>471</v>
      </c>
      <c r="B474" s="10" t="s">
        <v>259</v>
      </c>
      <c r="C474" s="10" t="s">
        <v>9</v>
      </c>
      <c r="D474" s="10" t="s">
        <v>480</v>
      </c>
      <c r="E474" s="10" t="str">
        <f>"644020240513082746172282"</f>
        <v>644020240513082746172282</v>
      </c>
      <c r="F474" s="9"/>
    </row>
    <row r="475" s="2" customFormat="1" ht="30" customHeight="1" spans="1:6">
      <c r="A475" s="9">
        <v>472</v>
      </c>
      <c r="B475" s="10" t="s">
        <v>259</v>
      </c>
      <c r="C475" s="10" t="s">
        <v>9</v>
      </c>
      <c r="D475" s="10" t="s">
        <v>481</v>
      </c>
      <c r="E475" s="10" t="str">
        <f>"644020240517095915184810"</f>
        <v>644020240517095915184810</v>
      </c>
      <c r="F475" s="9"/>
    </row>
    <row r="476" s="2" customFormat="1" ht="30" customHeight="1" spans="1:6">
      <c r="A476" s="9">
        <v>473</v>
      </c>
      <c r="B476" s="10" t="s">
        <v>259</v>
      </c>
      <c r="C476" s="10" t="s">
        <v>9</v>
      </c>
      <c r="D476" s="10" t="s">
        <v>482</v>
      </c>
      <c r="E476" s="10" t="str">
        <f>"644020240517100747184827"</f>
        <v>644020240517100747184827</v>
      </c>
      <c r="F476" s="9"/>
    </row>
    <row r="477" s="2" customFormat="1" ht="30" customHeight="1" spans="1:6">
      <c r="A477" s="9">
        <v>474</v>
      </c>
      <c r="B477" s="10" t="s">
        <v>259</v>
      </c>
      <c r="C477" s="10" t="s">
        <v>9</v>
      </c>
      <c r="D477" s="10" t="s">
        <v>483</v>
      </c>
      <c r="E477" s="10" t="str">
        <f>"644020240512151441169705"</f>
        <v>644020240512151441169705</v>
      </c>
      <c r="F477" s="9"/>
    </row>
    <row r="478" s="2" customFormat="1" ht="30" customHeight="1" spans="1:6">
      <c r="A478" s="9">
        <v>475</v>
      </c>
      <c r="B478" s="10" t="s">
        <v>259</v>
      </c>
      <c r="C478" s="10" t="s">
        <v>9</v>
      </c>
      <c r="D478" s="10" t="s">
        <v>484</v>
      </c>
      <c r="E478" s="10" t="str">
        <f>"644020240517094419184772"</f>
        <v>644020240517094419184772</v>
      </c>
      <c r="F478" s="9"/>
    </row>
    <row r="479" s="2" customFormat="1" ht="30" customHeight="1" spans="1:6">
      <c r="A479" s="9">
        <v>476</v>
      </c>
      <c r="B479" s="10" t="s">
        <v>259</v>
      </c>
      <c r="C479" s="10" t="s">
        <v>9</v>
      </c>
      <c r="D479" s="10" t="s">
        <v>485</v>
      </c>
      <c r="E479" s="10" t="str">
        <f>"644020240517101108184839"</f>
        <v>644020240517101108184839</v>
      </c>
      <c r="F479" s="9"/>
    </row>
    <row r="480" s="2" customFormat="1" ht="30" customHeight="1" spans="1:6">
      <c r="A480" s="9">
        <v>477</v>
      </c>
      <c r="B480" s="10" t="s">
        <v>259</v>
      </c>
      <c r="C480" s="10" t="s">
        <v>9</v>
      </c>
      <c r="D480" s="10" t="s">
        <v>486</v>
      </c>
      <c r="E480" s="10" t="str">
        <f>"644020240516174819183862"</f>
        <v>644020240516174819183862</v>
      </c>
      <c r="F480" s="9"/>
    </row>
    <row r="481" s="2" customFormat="1" ht="30" customHeight="1" spans="1:6">
      <c r="A481" s="9">
        <v>478</v>
      </c>
      <c r="B481" s="10" t="s">
        <v>259</v>
      </c>
      <c r="C481" s="10" t="s">
        <v>9</v>
      </c>
      <c r="D481" s="10" t="s">
        <v>487</v>
      </c>
      <c r="E481" s="10" t="str">
        <f>"644020240517103937184903"</f>
        <v>644020240517103937184903</v>
      </c>
      <c r="F481" s="9"/>
    </row>
    <row r="482" s="2" customFormat="1" ht="30" customHeight="1" spans="1:6">
      <c r="A482" s="9">
        <v>479</v>
      </c>
      <c r="B482" s="10" t="s">
        <v>259</v>
      </c>
      <c r="C482" s="10" t="s">
        <v>9</v>
      </c>
      <c r="D482" s="10" t="s">
        <v>488</v>
      </c>
      <c r="E482" s="10" t="str">
        <f>"644020240516165804183767"</f>
        <v>644020240516165804183767</v>
      </c>
      <c r="F482" s="9"/>
    </row>
    <row r="483" s="2" customFormat="1" ht="30" customHeight="1" spans="1:6">
      <c r="A483" s="9">
        <v>480</v>
      </c>
      <c r="B483" s="10" t="s">
        <v>259</v>
      </c>
      <c r="C483" s="10" t="s">
        <v>9</v>
      </c>
      <c r="D483" s="10" t="s">
        <v>489</v>
      </c>
      <c r="E483" s="10" t="str">
        <f>"644020240515170022181955"</f>
        <v>644020240515170022181955</v>
      </c>
      <c r="F483" s="9"/>
    </row>
    <row r="484" s="2" customFormat="1" ht="30" customHeight="1" spans="1:6">
      <c r="A484" s="9">
        <v>481</v>
      </c>
      <c r="B484" s="10" t="s">
        <v>259</v>
      </c>
      <c r="C484" s="10" t="s">
        <v>9</v>
      </c>
      <c r="D484" s="10" t="s">
        <v>490</v>
      </c>
      <c r="E484" s="10" t="str">
        <f>"644020240515163154181863"</f>
        <v>644020240515163154181863</v>
      </c>
      <c r="F484" s="9"/>
    </row>
    <row r="485" s="2" customFormat="1" ht="30" customHeight="1" spans="1:6">
      <c r="A485" s="9">
        <v>482</v>
      </c>
      <c r="B485" s="10" t="s">
        <v>259</v>
      </c>
      <c r="C485" s="10" t="s">
        <v>9</v>
      </c>
      <c r="D485" s="10" t="s">
        <v>491</v>
      </c>
      <c r="E485" s="10" t="str">
        <f>"644020240517121916185106"</f>
        <v>644020240517121916185106</v>
      </c>
      <c r="F485" s="9"/>
    </row>
    <row r="486" s="2" customFormat="1" ht="30" customHeight="1" spans="1:6">
      <c r="A486" s="9">
        <v>483</v>
      </c>
      <c r="B486" s="10" t="s">
        <v>259</v>
      </c>
      <c r="C486" s="10" t="s">
        <v>9</v>
      </c>
      <c r="D486" s="10" t="s">
        <v>492</v>
      </c>
      <c r="E486" s="10" t="str">
        <f>"644020240517122918185127"</f>
        <v>644020240517122918185127</v>
      </c>
      <c r="F486" s="9"/>
    </row>
    <row r="487" s="2" customFormat="1" ht="30" customHeight="1" spans="1:6">
      <c r="A487" s="9">
        <v>484</v>
      </c>
      <c r="B487" s="10" t="s">
        <v>259</v>
      </c>
      <c r="C487" s="10" t="s">
        <v>9</v>
      </c>
      <c r="D487" s="10" t="s">
        <v>493</v>
      </c>
      <c r="E487" s="10" t="str">
        <f>"644020240517112043184996"</f>
        <v>644020240517112043184996</v>
      </c>
      <c r="F487" s="9"/>
    </row>
    <row r="488" s="2" customFormat="1" ht="30" customHeight="1" spans="1:6">
      <c r="A488" s="9">
        <v>485</v>
      </c>
      <c r="B488" s="10" t="s">
        <v>259</v>
      </c>
      <c r="C488" s="10" t="s">
        <v>9</v>
      </c>
      <c r="D488" s="10" t="s">
        <v>494</v>
      </c>
      <c r="E488" s="10" t="str">
        <f>"644020240516221606184257"</f>
        <v>644020240516221606184257</v>
      </c>
      <c r="F488" s="9"/>
    </row>
    <row r="489" s="2" customFormat="1" ht="30" customHeight="1" spans="1:6">
      <c r="A489" s="9">
        <v>486</v>
      </c>
      <c r="B489" s="10" t="s">
        <v>259</v>
      </c>
      <c r="C489" s="10" t="s">
        <v>9</v>
      </c>
      <c r="D489" s="10" t="s">
        <v>495</v>
      </c>
      <c r="E489" s="10" t="str">
        <f>"644020240517145155185400"</f>
        <v>644020240517145155185400</v>
      </c>
      <c r="F489" s="9"/>
    </row>
    <row r="490" s="2" customFormat="1" ht="30" customHeight="1" spans="1:6">
      <c r="A490" s="9">
        <v>487</v>
      </c>
      <c r="B490" s="10" t="s">
        <v>259</v>
      </c>
      <c r="C490" s="10" t="s">
        <v>9</v>
      </c>
      <c r="D490" s="10" t="s">
        <v>496</v>
      </c>
      <c r="E490" s="10" t="str">
        <f>"644020240517152028185481"</f>
        <v>644020240517152028185481</v>
      </c>
      <c r="F490" s="9"/>
    </row>
    <row r="491" s="2" customFormat="1" ht="30" customHeight="1" spans="1:6">
      <c r="A491" s="9">
        <v>488</v>
      </c>
      <c r="B491" s="10" t="s">
        <v>259</v>
      </c>
      <c r="C491" s="10" t="s">
        <v>9</v>
      </c>
      <c r="D491" s="10" t="s">
        <v>497</v>
      </c>
      <c r="E491" s="10" t="str">
        <f>"644020240517152447185492"</f>
        <v>644020240517152447185492</v>
      </c>
      <c r="F491" s="9"/>
    </row>
    <row r="492" s="2" customFormat="1" ht="30" customHeight="1" spans="1:6">
      <c r="A492" s="9">
        <v>489</v>
      </c>
      <c r="B492" s="10" t="s">
        <v>259</v>
      </c>
      <c r="C492" s="10" t="s">
        <v>9</v>
      </c>
      <c r="D492" s="10" t="s">
        <v>498</v>
      </c>
      <c r="E492" s="10" t="str">
        <f>"644020240516224445184327"</f>
        <v>644020240516224445184327</v>
      </c>
      <c r="F492" s="9"/>
    </row>
    <row r="493" s="2" customFormat="1" ht="30" customHeight="1" spans="1:6">
      <c r="A493" s="9">
        <v>490</v>
      </c>
      <c r="B493" s="10" t="s">
        <v>259</v>
      </c>
      <c r="C493" s="10" t="s">
        <v>9</v>
      </c>
      <c r="D493" s="10" t="s">
        <v>499</v>
      </c>
      <c r="E493" s="10" t="str">
        <f>"644020240517154356185545"</f>
        <v>644020240517154356185545</v>
      </c>
      <c r="F493" s="9"/>
    </row>
    <row r="494" s="2" customFormat="1" ht="30" customHeight="1" spans="1:6">
      <c r="A494" s="9">
        <v>491</v>
      </c>
      <c r="B494" s="10" t="s">
        <v>259</v>
      </c>
      <c r="C494" s="10" t="s">
        <v>9</v>
      </c>
      <c r="D494" s="10" t="s">
        <v>500</v>
      </c>
      <c r="E494" s="10" t="str">
        <f>"644020240517160845185606"</f>
        <v>644020240517160845185606</v>
      </c>
      <c r="F494" s="9"/>
    </row>
    <row r="495" s="2" customFormat="1" ht="30" customHeight="1" spans="1:6">
      <c r="A495" s="9">
        <v>492</v>
      </c>
      <c r="B495" s="10" t="s">
        <v>259</v>
      </c>
      <c r="C495" s="10" t="s">
        <v>9</v>
      </c>
      <c r="D495" s="10" t="s">
        <v>501</v>
      </c>
      <c r="E495" s="10" t="str">
        <f>"644020240517123055185132"</f>
        <v>644020240517123055185132</v>
      </c>
      <c r="F495" s="9"/>
    </row>
    <row r="496" s="2" customFormat="1" ht="30" customHeight="1" spans="1:6">
      <c r="A496" s="9">
        <v>493</v>
      </c>
      <c r="B496" s="10" t="s">
        <v>259</v>
      </c>
      <c r="C496" s="10" t="s">
        <v>9</v>
      </c>
      <c r="D496" s="10" t="s">
        <v>502</v>
      </c>
      <c r="E496" s="10" t="str">
        <f>"644020240517182716185830"</f>
        <v>644020240517182716185830</v>
      </c>
      <c r="F496" s="9"/>
    </row>
    <row r="497" s="2" customFormat="1" ht="30" customHeight="1" spans="1:6">
      <c r="A497" s="9">
        <v>494</v>
      </c>
      <c r="B497" s="10" t="s">
        <v>259</v>
      </c>
      <c r="C497" s="10" t="s">
        <v>9</v>
      </c>
      <c r="D497" s="10" t="s">
        <v>503</v>
      </c>
      <c r="E497" s="10" t="str">
        <f>"644020240514112239178688"</f>
        <v>644020240514112239178688</v>
      </c>
      <c r="F497" s="9"/>
    </row>
    <row r="498" s="2" customFormat="1" ht="30" customHeight="1" spans="1:6">
      <c r="A498" s="9">
        <v>495</v>
      </c>
      <c r="B498" s="10" t="s">
        <v>259</v>
      </c>
      <c r="C498" s="10" t="s">
        <v>9</v>
      </c>
      <c r="D498" s="10" t="s">
        <v>504</v>
      </c>
      <c r="E498" s="10" t="str">
        <f>"644020240517193034185889"</f>
        <v>644020240517193034185889</v>
      </c>
      <c r="F498" s="9"/>
    </row>
    <row r="499" s="2" customFormat="1" ht="30" customHeight="1" spans="1:6">
      <c r="A499" s="9">
        <v>496</v>
      </c>
      <c r="B499" s="10" t="s">
        <v>259</v>
      </c>
      <c r="C499" s="10" t="s">
        <v>9</v>
      </c>
      <c r="D499" s="10" t="s">
        <v>505</v>
      </c>
      <c r="E499" s="10" t="str">
        <f>"644020240517195840185930"</f>
        <v>644020240517195840185930</v>
      </c>
      <c r="F499" s="9"/>
    </row>
    <row r="500" s="2" customFormat="1" ht="30" customHeight="1" spans="1:6">
      <c r="A500" s="9">
        <v>497</v>
      </c>
      <c r="B500" s="10" t="s">
        <v>259</v>
      </c>
      <c r="C500" s="10" t="s">
        <v>9</v>
      </c>
      <c r="D500" s="10" t="s">
        <v>506</v>
      </c>
      <c r="E500" s="10" t="str">
        <f>"644020240516233253184417"</f>
        <v>644020240516233253184417</v>
      </c>
      <c r="F500" s="9"/>
    </row>
    <row r="501" s="2" customFormat="1" ht="30" customHeight="1" spans="1:6">
      <c r="A501" s="9">
        <v>498</v>
      </c>
      <c r="B501" s="10" t="s">
        <v>259</v>
      </c>
      <c r="C501" s="10" t="s">
        <v>9</v>
      </c>
      <c r="D501" s="10" t="s">
        <v>507</v>
      </c>
      <c r="E501" s="10" t="str">
        <f>"644020240516220210184231"</f>
        <v>644020240516220210184231</v>
      </c>
      <c r="F501" s="9"/>
    </row>
    <row r="502" s="2" customFormat="1" ht="30" customHeight="1" spans="1:6">
      <c r="A502" s="9">
        <v>499</v>
      </c>
      <c r="B502" s="10" t="s">
        <v>259</v>
      </c>
      <c r="C502" s="10" t="s">
        <v>9</v>
      </c>
      <c r="D502" s="10" t="s">
        <v>508</v>
      </c>
      <c r="E502" s="10" t="str">
        <f>"644020240517212857185997"</f>
        <v>644020240517212857185997</v>
      </c>
      <c r="F502" s="9"/>
    </row>
    <row r="503" s="2" customFormat="1" ht="30" customHeight="1" spans="1:6">
      <c r="A503" s="9">
        <v>500</v>
      </c>
      <c r="B503" s="10" t="s">
        <v>259</v>
      </c>
      <c r="C503" s="10" t="s">
        <v>9</v>
      </c>
      <c r="D503" s="10" t="s">
        <v>509</v>
      </c>
      <c r="E503" s="10" t="str">
        <f>"644020240515102405181021"</f>
        <v>644020240515102405181021</v>
      </c>
      <c r="F503" s="9"/>
    </row>
    <row r="504" s="2" customFormat="1" ht="30" customHeight="1" spans="1:6">
      <c r="A504" s="9">
        <v>501</v>
      </c>
      <c r="B504" s="10" t="s">
        <v>259</v>
      </c>
      <c r="C504" s="10" t="s">
        <v>9</v>
      </c>
      <c r="D504" s="10" t="s">
        <v>510</v>
      </c>
      <c r="E504" s="10" t="str">
        <f>"644020240515084310180725"</f>
        <v>644020240515084310180725</v>
      </c>
      <c r="F504" s="9"/>
    </row>
    <row r="505" s="2" customFormat="1" ht="30" customHeight="1" spans="1:6">
      <c r="A505" s="9">
        <v>502</v>
      </c>
      <c r="B505" s="10" t="s">
        <v>259</v>
      </c>
      <c r="C505" s="10" t="s">
        <v>9</v>
      </c>
      <c r="D505" s="10" t="s">
        <v>511</v>
      </c>
      <c r="E505" s="10" t="str">
        <f>"644020240517223350186065"</f>
        <v>644020240517223350186065</v>
      </c>
      <c r="F505" s="9"/>
    </row>
    <row r="506" s="2" customFormat="1" ht="30" customHeight="1" spans="1:6">
      <c r="A506" s="9">
        <v>503</v>
      </c>
      <c r="B506" s="10" t="s">
        <v>259</v>
      </c>
      <c r="C506" s="10" t="s">
        <v>9</v>
      </c>
      <c r="D506" s="10" t="s">
        <v>512</v>
      </c>
      <c r="E506" s="10" t="str">
        <f>"644020240518000217186158"</f>
        <v>644020240518000217186158</v>
      </c>
      <c r="F506" s="9"/>
    </row>
    <row r="507" s="2" customFormat="1" ht="30" customHeight="1" spans="1:6">
      <c r="A507" s="9">
        <v>504</v>
      </c>
      <c r="B507" s="10" t="s">
        <v>259</v>
      </c>
      <c r="C507" s="10" t="s">
        <v>9</v>
      </c>
      <c r="D507" s="10" t="s">
        <v>513</v>
      </c>
      <c r="E507" s="10" t="str">
        <f>"644020240516233525184420"</f>
        <v>644020240516233525184420</v>
      </c>
      <c r="F507" s="9"/>
    </row>
    <row r="508" s="2" customFormat="1" ht="30" customHeight="1" spans="1:6">
      <c r="A508" s="9">
        <v>505</v>
      </c>
      <c r="B508" s="10" t="s">
        <v>259</v>
      </c>
      <c r="C508" s="10" t="s">
        <v>9</v>
      </c>
      <c r="D508" s="10" t="s">
        <v>514</v>
      </c>
      <c r="E508" s="10" t="str">
        <f>"644020240518005118186220"</f>
        <v>644020240518005118186220</v>
      </c>
      <c r="F508" s="9"/>
    </row>
    <row r="509" s="2" customFormat="1" ht="30" customHeight="1" spans="1:6">
      <c r="A509" s="9">
        <v>506</v>
      </c>
      <c r="B509" s="10" t="s">
        <v>259</v>
      </c>
      <c r="C509" s="10" t="s">
        <v>9</v>
      </c>
      <c r="D509" s="10" t="s">
        <v>515</v>
      </c>
      <c r="E509" s="10" t="str">
        <f>"644020240518014518186260"</f>
        <v>644020240518014518186260</v>
      </c>
      <c r="F509" s="9"/>
    </row>
    <row r="510" s="2" customFormat="1" ht="30" customHeight="1" spans="1:6">
      <c r="A510" s="9">
        <v>507</v>
      </c>
      <c r="B510" s="10" t="s">
        <v>259</v>
      </c>
      <c r="C510" s="10" t="s">
        <v>9</v>
      </c>
      <c r="D510" s="10" t="s">
        <v>516</v>
      </c>
      <c r="E510" s="10" t="str">
        <f>"644020240518072334186339"</f>
        <v>644020240518072334186339</v>
      </c>
      <c r="F510" s="9"/>
    </row>
    <row r="511" s="2" customFormat="1" ht="30" customHeight="1" spans="1:6">
      <c r="A511" s="9">
        <v>508</v>
      </c>
      <c r="B511" s="10" t="s">
        <v>259</v>
      </c>
      <c r="C511" s="10" t="s">
        <v>9</v>
      </c>
      <c r="D511" s="10" t="s">
        <v>517</v>
      </c>
      <c r="E511" s="10" t="str">
        <f>"644020240518080748186370"</f>
        <v>644020240518080748186370</v>
      </c>
      <c r="F511" s="9"/>
    </row>
    <row r="512" s="2" customFormat="1" ht="30" customHeight="1" spans="1:6">
      <c r="A512" s="9">
        <v>509</v>
      </c>
      <c r="B512" s="10" t="s">
        <v>259</v>
      </c>
      <c r="C512" s="10" t="s">
        <v>9</v>
      </c>
      <c r="D512" s="10" t="s">
        <v>518</v>
      </c>
      <c r="E512" s="10" t="str">
        <f>"644020240517122651185123"</f>
        <v>644020240517122651185123</v>
      </c>
      <c r="F512" s="9"/>
    </row>
    <row r="513" s="2" customFormat="1" ht="30" customHeight="1" spans="1:6">
      <c r="A513" s="9">
        <v>510</v>
      </c>
      <c r="B513" s="10" t="s">
        <v>259</v>
      </c>
      <c r="C513" s="10" t="s">
        <v>9</v>
      </c>
      <c r="D513" s="10" t="s">
        <v>519</v>
      </c>
      <c r="E513" s="10" t="str">
        <f>"644020240518080808186371"</f>
        <v>644020240518080808186371</v>
      </c>
      <c r="F513" s="9"/>
    </row>
    <row r="514" s="2" customFormat="1" ht="30" customHeight="1" spans="1:6">
      <c r="A514" s="9">
        <v>511</v>
      </c>
      <c r="B514" s="10" t="s">
        <v>259</v>
      </c>
      <c r="C514" s="10" t="s">
        <v>9</v>
      </c>
      <c r="D514" s="10" t="s">
        <v>520</v>
      </c>
      <c r="E514" s="10" t="str">
        <f>"644020240518074959186357"</f>
        <v>644020240518074959186357</v>
      </c>
      <c r="F514" s="9"/>
    </row>
    <row r="515" s="2" customFormat="1" ht="30" customHeight="1" spans="1:6">
      <c r="A515" s="9">
        <v>512</v>
      </c>
      <c r="B515" s="10" t="s">
        <v>259</v>
      </c>
      <c r="C515" s="10" t="s">
        <v>9</v>
      </c>
      <c r="D515" s="10" t="s">
        <v>521</v>
      </c>
      <c r="E515" s="10" t="str">
        <f>"644020240518090215186448"</f>
        <v>644020240518090215186448</v>
      </c>
      <c r="F515" s="9"/>
    </row>
    <row r="516" s="2" customFormat="1" ht="30" customHeight="1" spans="1:6">
      <c r="A516" s="9">
        <v>513</v>
      </c>
      <c r="B516" s="10" t="s">
        <v>259</v>
      </c>
      <c r="C516" s="10" t="s">
        <v>9</v>
      </c>
      <c r="D516" s="10" t="s">
        <v>522</v>
      </c>
      <c r="E516" s="10" t="str">
        <f>"644020240518001502186173"</f>
        <v>644020240518001502186173</v>
      </c>
      <c r="F516" s="9"/>
    </row>
    <row r="517" s="2" customFormat="1" ht="30" customHeight="1" spans="1:6">
      <c r="A517" s="9">
        <v>514</v>
      </c>
      <c r="B517" s="10" t="s">
        <v>259</v>
      </c>
      <c r="C517" s="10" t="s">
        <v>9</v>
      </c>
      <c r="D517" s="10" t="s">
        <v>523</v>
      </c>
      <c r="E517" s="10" t="str">
        <f>"644020240518092132186486"</f>
        <v>644020240518092132186486</v>
      </c>
      <c r="F517" s="9"/>
    </row>
    <row r="518" s="2" customFormat="1" ht="30" customHeight="1" spans="1:6">
      <c r="A518" s="9">
        <v>515</v>
      </c>
      <c r="B518" s="10" t="s">
        <v>259</v>
      </c>
      <c r="C518" s="10" t="s">
        <v>9</v>
      </c>
      <c r="D518" s="10" t="s">
        <v>524</v>
      </c>
      <c r="E518" s="10" t="str">
        <f>"644020240516180628183891"</f>
        <v>644020240516180628183891</v>
      </c>
      <c r="F518" s="9"/>
    </row>
    <row r="519" s="2" customFormat="1" ht="30" customHeight="1" spans="1:6">
      <c r="A519" s="9">
        <v>516</v>
      </c>
      <c r="B519" s="10" t="s">
        <v>259</v>
      </c>
      <c r="C519" s="10" t="s">
        <v>9</v>
      </c>
      <c r="D519" s="10" t="s">
        <v>525</v>
      </c>
      <c r="E519" s="10" t="str">
        <f>"644020240514211608180160"</f>
        <v>644020240514211608180160</v>
      </c>
      <c r="F519" s="9"/>
    </row>
    <row r="520" s="2" customFormat="1" ht="30" customHeight="1" spans="1:6">
      <c r="A520" s="9">
        <v>517</v>
      </c>
      <c r="B520" s="10" t="s">
        <v>259</v>
      </c>
      <c r="C520" s="10" t="s">
        <v>9</v>
      </c>
      <c r="D520" s="10" t="s">
        <v>526</v>
      </c>
      <c r="E520" s="10" t="str">
        <f>"644020240518102029186621"</f>
        <v>644020240518102029186621</v>
      </c>
      <c r="F520" s="9"/>
    </row>
    <row r="521" s="2" customFormat="1" ht="30" customHeight="1" spans="1:6">
      <c r="A521" s="9">
        <v>518</v>
      </c>
      <c r="B521" s="10" t="s">
        <v>259</v>
      </c>
      <c r="C521" s="10" t="s">
        <v>9</v>
      </c>
      <c r="D521" s="10" t="s">
        <v>527</v>
      </c>
      <c r="E521" s="10" t="str">
        <f>"644020240513224344177418"</f>
        <v>644020240513224344177418</v>
      </c>
      <c r="F521" s="9"/>
    </row>
    <row r="522" s="2" customFormat="1" ht="30" customHeight="1" spans="1:6">
      <c r="A522" s="9">
        <v>519</v>
      </c>
      <c r="B522" s="10" t="s">
        <v>259</v>
      </c>
      <c r="C522" s="10" t="s">
        <v>9</v>
      </c>
      <c r="D522" s="10" t="s">
        <v>528</v>
      </c>
      <c r="E522" s="10" t="str">
        <f>"644020240518094343186534"</f>
        <v>644020240518094343186534</v>
      </c>
      <c r="F522" s="9"/>
    </row>
    <row r="523" s="2" customFormat="1" ht="30" customHeight="1" spans="1:6">
      <c r="A523" s="9">
        <v>520</v>
      </c>
      <c r="B523" s="10" t="s">
        <v>529</v>
      </c>
      <c r="C523" s="10" t="s">
        <v>530</v>
      </c>
      <c r="D523" s="10" t="s">
        <v>531</v>
      </c>
      <c r="E523" s="10" t="str">
        <f>"644020240512091850168193"</f>
        <v>644020240512091850168193</v>
      </c>
      <c r="F523" s="9"/>
    </row>
    <row r="524" s="2" customFormat="1" ht="30" customHeight="1" spans="1:6">
      <c r="A524" s="9">
        <v>521</v>
      </c>
      <c r="B524" s="10" t="s">
        <v>529</v>
      </c>
      <c r="C524" s="10" t="s">
        <v>530</v>
      </c>
      <c r="D524" s="10" t="s">
        <v>532</v>
      </c>
      <c r="E524" s="10" t="str">
        <f>"644020240512105310168685"</f>
        <v>644020240512105310168685</v>
      </c>
      <c r="F524" s="9"/>
    </row>
    <row r="525" s="2" customFormat="1" ht="30" customHeight="1" spans="1:6">
      <c r="A525" s="9">
        <v>522</v>
      </c>
      <c r="B525" s="10" t="s">
        <v>529</v>
      </c>
      <c r="C525" s="10" t="s">
        <v>530</v>
      </c>
      <c r="D525" s="10" t="s">
        <v>533</v>
      </c>
      <c r="E525" s="10" t="str">
        <f>"644020240512113442168910"</f>
        <v>644020240512113442168910</v>
      </c>
      <c r="F525" s="9"/>
    </row>
    <row r="526" s="2" customFormat="1" ht="30" customHeight="1" spans="1:6">
      <c r="A526" s="9">
        <v>523</v>
      </c>
      <c r="B526" s="10" t="s">
        <v>529</v>
      </c>
      <c r="C526" s="10" t="s">
        <v>530</v>
      </c>
      <c r="D526" s="10" t="s">
        <v>534</v>
      </c>
      <c r="E526" s="10" t="str">
        <f>"644020240512125207169213"</f>
        <v>644020240512125207169213</v>
      </c>
      <c r="F526" s="9"/>
    </row>
    <row r="527" s="2" customFormat="1" ht="30" customHeight="1" spans="1:6">
      <c r="A527" s="9">
        <v>524</v>
      </c>
      <c r="B527" s="10" t="s">
        <v>529</v>
      </c>
      <c r="C527" s="10" t="s">
        <v>530</v>
      </c>
      <c r="D527" s="10" t="s">
        <v>535</v>
      </c>
      <c r="E527" s="10" t="str">
        <f>"644020240512130402169252"</f>
        <v>644020240512130402169252</v>
      </c>
      <c r="F527" s="9"/>
    </row>
    <row r="528" s="2" customFormat="1" ht="30" customHeight="1" spans="1:6">
      <c r="A528" s="9">
        <v>525</v>
      </c>
      <c r="B528" s="10" t="s">
        <v>529</v>
      </c>
      <c r="C528" s="10" t="s">
        <v>530</v>
      </c>
      <c r="D528" s="10" t="s">
        <v>536</v>
      </c>
      <c r="E528" s="10" t="str">
        <f>"644020240512133630169387"</f>
        <v>644020240512133630169387</v>
      </c>
      <c r="F528" s="9"/>
    </row>
    <row r="529" s="2" customFormat="1" ht="30" customHeight="1" spans="1:6">
      <c r="A529" s="9">
        <v>526</v>
      </c>
      <c r="B529" s="10" t="s">
        <v>529</v>
      </c>
      <c r="C529" s="10" t="s">
        <v>530</v>
      </c>
      <c r="D529" s="10" t="s">
        <v>537</v>
      </c>
      <c r="E529" s="10" t="str">
        <f>"644020240512154722169830"</f>
        <v>644020240512154722169830</v>
      </c>
      <c r="F529" s="9"/>
    </row>
    <row r="530" s="2" customFormat="1" ht="30" customHeight="1" spans="1:6">
      <c r="A530" s="9">
        <v>527</v>
      </c>
      <c r="B530" s="10" t="s">
        <v>529</v>
      </c>
      <c r="C530" s="10" t="s">
        <v>530</v>
      </c>
      <c r="D530" s="10" t="s">
        <v>538</v>
      </c>
      <c r="E530" s="10" t="str">
        <f>"644020240512163147170008"</f>
        <v>644020240512163147170008</v>
      </c>
      <c r="F530" s="9"/>
    </row>
    <row r="531" s="2" customFormat="1" ht="30" customHeight="1" spans="1:6">
      <c r="A531" s="9">
        <v>528</v>
      </c>
      <c r="B531" s="10" t="s">
        <v>529</v>
      </c>
      <c r="C531" s="10" t="s">
        <v>530</v>
      </c>
      <c r="D531" s="10" t="s">
        <v>539</v>
      </c>
      <c r="E531" s="10" t="str">
        <f>"644020240512171351170152"</f>
        <v>644020240512171351170152</v>
      </c>
      <c r="F531" s="9"/>
    </row>
    <row r="532" s="2" customFormat="1" ht="30" customHeight="1" spans="1:6">
      <c r="A532" s="9">
        <v>529</v>
      </c>
      <c r="B532" s="10" t="s">
        <v>529</v>
      </c>
      <c r="C532" s="10" t="s">
        <v>530</v>
      </c>
      <c r="D532" s="10" t="s">
        <v>540</v>
      </c>
      <c r="E532" s="10" t="str">
        <f>"644020240512093202168251"</f>
        <v>644020240512093202168251</v>
      </c>
      <c r="F532" s="9"/>
    </row>
    <row r="533" s="2" customFormat="1" ht="30" customHeight="1" spans="1:6">
      <c r="A533" s="9">
        <v>530</v>
      </c>
      <c r="B533" s="10" t="s">
        <v>529</v>
      </c>
      <c r="C533" s="10" t="s">
        <v>530</v>
      </c>
      <c r="D533" s="10" t="s">
        <v>541</v>
      </c>
      <c r="E533" s="10" t="str">
        <f>"644020240512190837170534"</f>
        <v>644020240512190837170534</v>
      </c>
      <c r="F533" s="9"/>
    </row>
    <row r="534" s="2" customFormat="1" ht="30" customHeight="1" spans="1:6">
      <c r="A534" s="9">
        <v>531</v>
      </c>
      <c r="B534" s="10" t="s">
        <v>529</v>
      </c>
      <c r="C534" s="10" t="s">
        <v>530</v>
      </c>
      <c r="D534" s="10" t="s">
        <v>542</v>
      </c>
      <c r="E534" s="10" t="str">
        <f>"644020240512203405170857"</f>
        <v>644020240512203405170857</v>
      </c>
      <c r="F534" s="9"/>
    </row>
    <row r="535" s="2" customFormat="1" ht="30" customHeight="1" spans="1:6">
      <c r="A535" s="9">
        <v>532</v>
      </c>
      <c r="B535" s="10" t="s">
        <v>529</v>
      </c>
      <c r="C535" s="10" t="s">
        <v>530</v>
      </c>
      <c r="D535" s="10" t="s">
        <v>543</v>
      </c>
      <c r="E535" s="10" t="str">
        <f>"644020240512205316170952"</f>
        <v>644020240512205316170952</v>
      </c>
      <c r="F535" s="9"/>
    </row>
    <row r="536" s="2" customFormat="1" ht="30" customHeight="1" spans="1:6">
      <c r="A536" s="9">
        <v>533</v>
      </c>
      <c r="B536" s="10" t="s">
        <v>529</v>
      </c>
      <c r="C536" s="10" t="s">
        <v>530</v>
      </c>
      <c r="D536" s="10" t="s">
        <v>544</v>
      </c>
      <c r="E536" s="10" t="str">
        <f>"644020240512224359171573"</f>
        <v>644020240512224359171573</v>
      </c>
      <c r="F536" s="9"/>
    </row>
    <row r="537" s="2" customFormat="1" ht="30" customHeight="1" spans="1:6">
      <c r="A537" s="9">
        <v>534</v>
      </c>
      <c r="B537" s="10" t="s">
        <v>529</v>
      </c>
      <c r="C537" s="10" t="s">
        <v>530</v>
      </c>
      <c r="D537" s="10" t="s">
        <v>545</v>
      </c>
      <c r="E537" s="10" t="str">
        <f>"644020240512211327171061"</f>
        <v>644020240512211327171061</v>
      </c>
      <c r="F537" s="9"/>
    </row>
    <row r="538" s="2" customFormat="1" ht="30" customHeight="1" spans="1:6">
      <c r="A538" s="9">
        <v>535</v>
      </c>
      <c r="B538" s="10" t="s">
        <v>529</v>
      </c>
      <c r="C538" s="10" t="s">
        <v>530</v>
      </c>
      <c r="D538" s="10" t="s">
        <v>546</v>
      </c>
      <c r="E538" s="10" t="str">
        <f>"644020240513085147172432"</f>
        <v>644020240513085147172432</v>
      </c>
      <c r="F538" s="9"/>
    </row>
    <row r="539" s="2" customFormat="1" ht="30" customHeight="1" spans="1:6">
      <c r="A539" s="9">
        <v>536</v>
      </c>
      <c r="B539" s="10" t="s">
        <v>529</v>
      </c>
      <c r="C539" s="10" t="s">
        <v>530</v>
      </c>
      <c r="D539" s="10" t="s">
        <v>547</v>
      </c>
      <c r="E539" s="10" t="str">
        <f>"644020240513100951173207"</f>
        <v>644020240513100951173207</v>
      </c>
      <c r="F539" s="9"/>
    </row>
    <row r="540" s="2" customFormat="1" ht="30" customHeight="1" spans="1:6">
      <c r="A540" s="9">
        <v>537</v>
      </c>
      <c r="B540" s="10" t="s">
        <v>529</v>
      </c>
      <c r="C540" s="10" t="s">
        <v>530</v>
      </c>
      <c r="D540" s="10" t="s">
        <v>548</v>
      </c>
      <c r="E540" s="10" t="str">
        <f>"644020240513120351174156"</f>
        <v>644020240513120351174156</v>
      </c>
      <c r="F540" s="9"/>
    </row>
    <row r="541" s="2" customFormat="1" ht="30" customHeight="1" spans="1:6">
      <c r="A541" s="9">
        <v>538</v>
      </c>
      <c r="B541" s="10" t="s">
        <v>529</v>
      </c>
      <c r="C541" s="10" t="s">
        <v>530</v>
      </c>
      <c r="D541" s="10" t="s">
        <v>549</v>
      </c>
      <c r="E541" s="10" t="str">
        <f>"644020240513134218174720"</f>
        <v>644020240513134218174720</v>
      </c>
      <c r="F541" s="9"/>
    </row>
    <row r="542" s="2" customFormat="1" ht="30" customHeight="1" spans="1:6">
      <c r="A542" s="9">
        <v>539</v>
      </c>
      <c r="B542" s="10" t="s">
        <v>529</v>
      </c>
      <c r="C542" s="10" t="s">
        <v>530</v>
      </c>
      <c r="D542" s="10" t="s">
        <v>550</v>
      </c>
      <c r="E542" s="10" t="str">
        <f>"644020240513141230174856"</f>
        <v>644020240513141230174856</v>
      </c>
      <c r="F542" s="9"/>
    </row>
    <row r="543" s="2" customFormat="1" ht="30" customHeight="1" spans="1:6">
      <c r="A543" s="9">
        <v>540</v>
      </c>
      <c r="B543" s="10" t="s">
        <v>529</v>
      </c>
      <c r="C543" s="10" t="s">
        <v>530</v>
      </c>
      <c r="D543" s="10" t="s">
        <v>551</v>
      </c>
      <c r="E543" s="10" t="str">
        <f>"644020240513093543172867"</f>
        <v>644020240513093543172867</v>
      </c>
      <c r="F543" s="9"/>
    </row>
    <row r="544" s="2" customFormat="1" ht="30" customHeight="1" spans="1:6">
      <c r="A544" s="9">
        <v>541</v>
      </c>
      <c r="B544" s="10" t="s">
        <v>529</v>
      </c>
      <c r="C544" s="10" t="s">
        <v>530</v>
      </c>
      <c r="D544" s="10" t="s">
        <v>552</v>
      </c>
      <c r="E544" s="10" t="str">
        <f>"644020240513153530175522"</f>
        <v>644020240513153530175522</v>
      </c>
      <c r="F544" s="9"/>
    </row>
    <row r="545" s="2" customFormat="1" ht="30" customHeight="1" spans="1:6">
      <c r="A545" s="9">
        <v>542</v>
      </c>
      <c r="B545" s="10" t="s">
        <v>529</v>
      </c>
      <c r="C545" s="10" t="s">
        <v>530</v>
      </c>
      <c r="D545" s="10" t="s">
        <v>553</v>
      </c>
      <c r="E545" s="10" t="str">
        <f>"644020240513105910173686"</f>
        <v>644020240513105910173686</v>
      </c>
      <c r="F545" s="9"/>
    </row>
    <row r="546" s="2" customFormat="1" ht="30" customHeight="1" spans="1:6">
      <c r="A546" s="9">
        <v>543</v>
      </c>
      <c r="B546" s="10" t="s">
        <v>529</v>
      </c>
      <c r="C546" s="10" t="s">
        <v>530</v>
      </c>
      <c r="D546" s="10" t="s">
        <v>554</v>
      </c>
      <c r="E546" s="10" t="str">
        <f>"644020240513153857175554"</f>
        <v>644020240513153857175554</v>
      </c>
      <c r="F546" s="9"/>
    </row>
    <row r="547" s="2" customFormat="1" ht="30" customHeight="1" spans="1:6">
      <c r="A547" s="9">
        <v>544</v>
      </c>
      <c r="B547" s="10" t="s">
        <v>529</v>
      </c>
      <c r="C547" s="10" t="s">
        <v>530</v>
      </c>
      <c r="D547" s="10" t="s">
        <v>555</v>
      </c>
      <c r="E547" s="10" t="str">
        <f>"644020240513155946175780"</f>
        <v>644020240513155946175780</v>
      </c>
      <c r="F547" s="9"/>
    </row>
    <row r="548" s="2" customFormat="1" ht="30" customHeight="1" spans="1:6">
      <c r="A548" s="9">
        <v>545</v>
      </c>
      <c r="B548" s="10" t="s">
        <v>529</v>
      </c>
      <c r="C548" s="10" t="s">
        <v>530</v>
      </c>
      <c r="D548" s="10" t="s">
        <v>556</v>
      </c>
      <c r="E548" s="10" t="str">
        <f>"644020240513103258173453"</f>
        <v>644020240513103258173453</v>
      </c>
      <c r="F548" s="9"/>
    </row>
    <row r="549" s="2" customFormat="1" ht="30" customHeight="1" spans="1:6">
      <c r="A549" s="9">
        <v>546</v>
      </c>
      <c r="B549" s="10" t="s">
        <v>529</v>
      </c>
      <c r="C549" s="10" t="s">
        <v>530</v>
      </c>
      <c r="D549" s="10" t="s">
        <v>557</v>
      </c>
      <c r="E549" s="10" t="str">
        <f>"644020240513163451175968"</f>
        <v>644020240513163451175968</v>
      </c>
      <c r="F549" s="9"/>
    </row>
    <row r="550" s="2" customFormat="1" ht="30" customHeight="1" spans="1:6">
      <c r="A550" s="9">
        <v>547</v>
      </c>
      <c r="B550" s="10" t="s">
        <v>529</v>
      </c>
      <c r="C550" s="10" t="s">
        <v>530</v>
      </c>
      <c r="D550" s="10" t="s">
        <v>558</v>
      </c>
      <c r="E550" s="10" t="str">
        <f>"644020240513165254176061"</f>
        <v>644020240513165254176061</v>
      </c>
      <c r="F550" s="9"/>
    </row>
    <row r="551" s="2" customFormat="1" ht="30" customHeight="1" spans="1:6">
      <c r="A551" s="9">
        <v>548</v>
      </c>
      <c r="B551" s="10" t="s">
        <v>529</v>
      </c>
      <c r="C551" s="10" t="s">
        <v>530</v>
      </c>
      <c r="D551" s="10" t="s">
        <v>559</v>
      </c>
      <c r="E551" s="10" t="str">
        <f>"644020240512111346168792"</f>
        <v>644020240512111346168792</v>
      </c>
      <c r="F551" s="9"/>
    </row>
    <row r="552" s="2" customFormat="1" ht="30" customHeight="1" spans="1:6">
      <c r="A552" s="9">
        <v>549</v>
      </c>
      <c r="B552" s="10" t="s">
        <v>529</v>
      </c>
      <c r="C552" s="10" t="s">
        <v>530</v>
      </c>
      <c r="D552" s="10" t="s">
        <v>560</v>
      </c>
      <c r="E552" s="10" t="str">
        <f>"644020240513143050174978"</f>
        <v>644020240513143050174978</v>
      </c>
      <c r="F552" s="9"/>
    </row>
    <row r="553" s="2" customFormat="1" ht="30" customHeight="1" spans="1:6">
      <c r="A553" s="9">
        <v>550</v>
      </c>
      <c r="B553" s="10" t="s">
        <v>529</v>
      </c>
      <c r="C553" s="10" t="s">
        <v>530</v>
      </c>
      <c r="D553" s="10" t="s">
        <v>561</v>
      </c>
      <c r="E553" s="10" t="str">
        <f>"644020240513115947174134"</f>
        <v>644020240513115947174134</v>
      </c>
      <c r="F553" s="9"/>
    </row>
    <row r="554" s="2" customFormat="1" ht="30" customHeight="1" spans="1:6">
      <c r="A554" s="9">
        <v>551</v>
      </c>
      <c r="B554" s="10" t="s">
        <v>529</v>
      </c>
      <c r="C554" s="10" t="s">
        <v>530</v>
      </c>
      <c r="D554" s="10" t="s">
        <v>562</v>
      </c>
      <c r="E554" s="10" t="str">
        <f>"644020240513152124175386"</f>
        <v>644020240513152124175386</v>
      </c>
      <c r="F554" s="9"/>
    </row>
    <row r="555" s="2" customFormat="1" ht="30" customHeight="1" spans="1:6">
      <c r="A555" s="9">
        <v>552</v>
      </c>
      <c r="B555" s="10" t="s">
        <v>529</v>
      </c>
      <c r="C555" s="10" t="s">
        <v>530</v>
      </c>
      <c r="D555" s="10" t="s">
        <v>563</v>
      </c>
      <c r="E555" s="10" t="str">
        <f>"644020240513091556172651"</f>
        <v>644020240513091556172651</v>
      </c>
      <c r="F555" s="9"/>
    </row>
    <row r="556" s="2" customFormat="1" ht="30" customHeight="1" spans="1:6">
      <c r="A556" s="9">
        <v>553</v>
      </c>
      <c r="B556" s="10" t="s">
        <v>529</v>
      </c>
      <c r="C556" s="10" t="s">
        <v>530</v>
      </c>
      <c r="D556" s="10" t="s">
        <v>564</v>
      </c>
      <c r="E556" s="10" t="str">
        <f>"644020240513174328176286"</f>
        <v>644020240513174328176286</v>
      </c>
      <c r="F556" s="9"/>
    </row>
    <row r="557" s="2" customFormat="1" ht="30" customHeight="1" spans="1:6">
      <c r="A557" s="9">
        <v>554</v>
      </c>
      <c r="B557" s="10" t="s">
        <v>529</v>
      </c>
      <c r="C557" s="10" t="s">
        <v>530</v>
      </c>
      <c r="D557" s="10" t="s">
        <v>565</v>
      </c>
      <c r="E557" s="10" t="str">
        <f>"644020240513153448175517"</f>
        <v>644020240513153448175517</v>
      </c>
      <c r="F557" s="9"/>
    </row>
    <row r="558" s="2" customFormat="1" ht="30" customHeight="1" spans="1:6">
      <c r="A558" s="9">
        <v>555</v>
      </c>
      <c r="B558" s="10" t="s">
        <v>529</v>
      </c>
      <c r="C558" s="10" t="s">
        <v>530</v>
      </c>
      <c r="D558" s="10" t="s">
        <v>566</v>
      </c>
      <c r="E558" s="10" t="str">
        <f>"644020240513141523174876"</f>
        <v>644020240513141523174876</v>
      </c>
      <c r="F558" s="9"/>
    </row>
    <row r="559" s="2" customFormat="1" ht="30" customHeight="1" spans="1:6">
      <c r="A559" s="9">
        <v>556</v>
      </c>
      <c r="B559" s="10" t="s">
        <v>529</v>
      </c>
      <c r="C559" s="10" t="s">
        <v>530</v>
      </c>
      <c r="D559" s="10" t="s">
        <v>567</v>
      </c>
      <c r="E559" s="10" t="str">
        <f>"644020240513180431176359"</f>
        <v>644020240513180431176359</v>
      </c>
      <c r="F559" s="9"/>
    </row>
    <row r="560" s="2" customFormat="1" ht="30" customHeight="1" spans="1:6">
      <c r="A560" s="9">
        <v>557</v>
      </c>
      <c r="B560" s="10" t="s">
        <v>529</v>
      </c>
      <c r="C560" s="10" t="s">
        <v>530</v>
      </c>
      <c r="D560" s="10" t="s">
        <v>568</v>
      </c>
      <c r="E560" s="10" t="str">
        <f>"644020240513195042176693"</f>
        <v>644020240513195042176693</v>
      </c>
      <c r="F560" s="9"/>
    </row>
    <row r="561" s="2" customFormat="1" ht="30" customHeight="1" spans="1:6">
      <c r="A561" s="9">
        <v>558</v>
      </c>
      <c r="B561" s="10" t="s">
        <v>529</v>
      </c>
      <c r="C561" s="10" t="s">
        <v>530</v>
      </c>
      <c r="D561" s="10" t="s">
        <v>569</v>
      </c>
      <c r="E561" s="10" t="str">
        <f>"644020240513202317176801"</f>
        <v>644020240513202317176801</v>
      </c>
      <c r="F561" s="9"/>
    </row>
    <row r="562" s="2" customFormat="1" ht="30" customHeight="1" spans="1:6">
      <c r="A562" s="9">
        <v>559</v>
      </c>
      <c r="B562" s="10" t="s">
        <v>529</v>
      </c>
      <c r="C562" s="10" t="s">
        <v>530</v>
      </c>
      <c r="D562" s="10" t="s">
        <v>570</v>
      </c>
      <c r="E562" s="10" t="str">
        <f>"644020240513203356176847"</f>
        <v>644020240513203356176847</v>
      </c>
      <c r="F562" s="9"/>
    </row>
    <row r="563" s="2" customFormat="1" ht="30" customHeight="1" spans="1:6">
      <c r="A563" s="9">
        <v>560</v>
      </c>
      <c r="B563" s="10" t="s">
        <v>529</v>
      </c>
      <c r="C563" s="10" t="s">
        <v>530</v>
      </c>
      <c r="D563" s="10" t="s">
        <v>571</v>
      </c>
      <c r="E563" s="10" t="str">
        <f>"644020240513103630173477"</f>
        <v>644020240513103630173477</v>
      </c>
      <c r="F563" s="9"/>
    </row>
    <row r="564" s="2" customFormat="1" ht="30" customHeight="1" spans="1:6">
      <c r="A564" s="9">
        <v>561</v>
      </c>
      <c r="B564" s="10" t="s">
        <v>529</v>
      </c>
      <c r="C564" s="10" t="s">
        <v>530</v>
      </c>
      <c r="D564" s="10" t="s">
        <v>572</v>
      </c>
      <c r="E564" s="10" t="str">
        <f>"644020240513203446176851"</f>
        <v>644020240513203446176851</v>
      </c>
      <c r="F564" s="9"/>
    </row>
    <row r="565" s="2" customFormat="1" ht="30" customHeight="1" spans="1:6">
      <c r="A565" s="9">
        <v>562</v>
      </c>
      <c r="B565" s="10" t="s">
        <v>529</v>
      </c>
      <c r="C565" s="10" t="s">
        <v>530</v>
      </c>
      <c r="D565" s="10" t="s">
        <v>573</v>
      </c>
      <c r="E565" s="10" t="str">
        <f>"644020240513221236177289"</f>
        <v>644020240513221236177289</v>
      </c>
      <c r="F565" s="9"/>
    </row>
    <row r="566" s="2" customFormat="1" ht="30" customHeight="1" spans="1:6">
      <c r="A566" s="9">
        <v>563</v>
      </c>
      <c r="B566" s="10" t="s">
        <v>529</v>
      </c>
      <c r="C566" s="10" t="s">
        <v>530</v>
      </c>
      <c r="D566" s="10" t="s">
        <v>574</v>
      </c>
      <c r="E566" s="10" t="str">
        <f>"644020240514081049177816"</f>
        <v>644020240514081049177816</v>
      </c>
      <c r="F566" s="9"/>
    </row>
    <row r="567" s="2" customFormat="1" ht="30" customHeight="1" spans="1:6">
      <c r="A567" s="9">
        <v>564</v>
      </c>
      <c r="B567" s="10" t="s">
        <v>529</v>
      </c>
      <c r="C567" s="10" t="s">
        <v>530</v>
      </c>
      <c r="D567" s="10" t="s">
        <v>575</v>
      </c>
      <c r="E567" s="10" t="str">
        <f>"644020240512094931168319"</f>
        <v>644020240512094931168319</v>
      </c>
      <c r="F567" s="9"/>
    </row>
    <row r="568" s="2" customFormat="1" ht="30" customHeight="1" spans="1:6">
      <c r="A568" s="9">
        <v>565</v>
      </c>
      <c r="B568" s="10" t="s">
        <v>529</v>
      </c>
      <c r="C568" s="10" t="s">
        <v>530</v>
      </c>
      <c r="D568" s="10" t="s">
        <v>576</v>
      </c>
      <c r="E568" s="10" t="str">
        <f>"644020240514082125177840"</f>
        <v>644020240514082125177840</v>
      </c>
      <c r="F568" s="9"/>
    </row>
    <row r="569" s="2" customFormat="1" ht="30" customHeight="1" spans="1:6">
      <c r="A569" s="9">
        <v>566</v>
      </c>
      <c r="B569" s="10" t="s">
        <v>529</v>
      </c>
      <c r="C569" s="10" t="s">
        <v>530</v>
      </c>
      <c r="D569" s="10" t="s">
        <v>577</v>
      </c>
      <c r="E569" s="10" t="str">
        <f>"644020240514073435177789"</f>
        <v>644020240514073435177789</v>
      </c>
      <c r="F569" s="9"/>
    </row>
    <row r="570" s="2" customFormat="1" ht="30" customHeight="1" spans="1:6">
      <c r="A570" s="9">
        <v>567</v>
      </c>
      <c r="B570" s="10" t="s">
        <v>529</v>
      </c>
      <c r="C570" s="10" t="s">
        <v>530</v>
      </c>
      <c r="D570" s="10" t="s">
        <v>578</v>
      </c>
      <c r="E570" s="10" t="str">
        <f>"644020240513143037174975"</f>
        <v>644020240513143037174975</v>
      </c>
      <c r="F570" s="9"/>
    </row>
    <row r="571" s="2" customFormat="1" ht="30" customHeight="1" spans="1:6">
      <c r="A571" s="9">
        <v>568</v>
      </c>
      <c r="B571" s="10" t="s">
        <v>529</v>
      </c>
      <c r="C571" s="10" t="s">
        <v>530</v>
      </c>
      <c r="D571" s="10" t="s">
        <v>579</v>
      </c>
      <c r="E571" s="10" t="str">
        <f>"644020240514102831178426"</f>
        <v>644020240514102831178426</v>
      </c>
      <c r="F571" s="9"/>
    </row>
    <row r="572" s="2" customFormat="1" ht="30" customHeight="1" spans="1:6">
      <c r="A572" s="9">
        <v>569</v>
      </c>
      <c r="B572" s="10" t="s">
        <v>529</v>
      </c>
      <c r="C572" s="10" t="s">
        <v>530</v>
      </c>
      <c r="D572" s="10" t="s">
        <v>580</v>
      </c>
      <c r="E572" s="10" t="str">
        <f>"644020240514104000178493"</f>
        <v>644020240514104000178493</v>
      </c>
      <c r="F572" s="9"/>
    </row>
    <row r="573" s="2" customFormat="1" ht="30" customHeight="1" spans="1:6">
      <c r="A573" s="9">
        <v>570</v>
      </c>
      <c r="B573" s="10" t="s">
        <v>529</v>
      </c>
      <c r="C573" s="10" t="s">
        <v>530</v>
      </c>
      <c r="D573" s="10" t="s">
        <v>581</v>
      </c>
      <c r="E573" s="10" t="str">
        <f>"644020240513161421175869"</f>
        <v>644020240513161421175869</v>
      </c>
      <c r="F573" s="9"/>
    </row>
    <row r="574" s="2" customFormat="1" ht="30" customHeight="1" spans="1:6">
      <c r="A574" s="9">
        <v>571</v>
      </c>
      <c r="B574" s="10" t="s">
        <v>529</v>
      </c>
      <c r="C574" s="10" t="s">
        <v>530</v>
      </c>
      <c r="D574" s="10" t="s">
        <v>582</v>
      </c>
      <c r="E574" s="10" t="str">
        <f>"644020240514115118178802"</f>
        <v>644020240514115118178802</v>
      </c>
      <c r="F574" s="9"/>
    </row>
    <row r="575" s="2" customFormat="1" ht="30" customHeight="1" spans="1:6">
      <c r="A575" s="9">
        <v>572</v>
      </c>
      <c r="B575" s="10" t="s">
        <v>529</v>
      </c>
      <c r="C575" s="10" t="s">
        <v>530</v>
      </c>
      <c r="D575" s="10" t="s">
        <v>583</v>
      </c>
      <c r="E575" s="10" t="str">
        <f>"644020240513202640176815"</f>
        <v>644020240513202640176815</v>
      </c>
      <c r="F575" s="9"/>
    </row>
    <row r="576" s="2" customFormat="1" ht="30" customHeight="1" spans="1:6">
      <c r="A576" s="9">
        <v>573</v>
      </c>
      <c r="B576" s="10" t="s">
        <v>529</v>
      </c>
      <c r="C576" s="10" t="s">
        <v>530</v>
      </c>
      <c r="D576" s="10" t="s">
        <v>584</v>
      </c>
      <c r="E576" s="10" t="str">
        <f>"644020240514121400178860"</f>
        <v>644020240514121400178860</v>
      </c>
      <c r="F576" s="9"/>
    </row>
    <row r="577" s="2" customFormat="1" ht="30" customHeight="1" spans="1:6">
      <c r="A577" s="9">
        <v>574</v>
      </c>
      <c r="B577" s="10" t="s">
        <v>529</v>
      </c>
      <c r="C577" s="10" t="s">
        <v>530</v>
      </c>
      <c r="D577" s="10" t="s">
        <v>585</v>
      </c>
      <c r="E577" s="10" t="str">
        <f>"644020240514121612178865"</f>
        <v>644020240514121612178865</v>
      </c>
      <c r="F577" s="9"/>
    </row>
    <row r="578" s="2" customFormat="1" ht="30" customHeight="1" spans="1:6">
      <c r="A578" s="9">
        <v>575</v>
      </c>
      <c r="B578" s="10" t="s">
        <v>529</v>
      </c>
      <c r="C578" s="10" t="s">
        <v>530</v>
      </c>
      <c r="D578" s="10" t="s">
        <v>586</v>
      </c>
      <c r="E578" s="10" t="str">
        <f>"644020240514123003178897"</f>
        <v>644020240514123003178897</v>
      </c>
      <c r="F578" s="9"/>
    </row>
    <row r="579" s="2" customFormat="1" ht="30" customHeight="1" spans="1:6">
      <c r="A579" s="9">
        <v>576</v>
      </c>
      <c r="B579" s="10" t="s">
        <v>529</v>
      </c>
      <c r="C579" s="10" t="s">
        <v>530</v>
      </c>
      <c r="D579" s="10" t="s">
        <v>587</v>
      </c>
      <c r="E579" s="10" t="str">
        <f>"644020240514010958177725"</f>
        <v>644020240514010958177725</v>
      </c>
      <c r="F579" s="9"/>
    </row>
    <row r="580" s="2" customFormat="1" ht="30" customHeight="1" spans="1:6">
      <c r="A580" s="9">
        <v>577</v>
      </c>
      <c r="B580" s="10" t="s">
        <v>529</v>
      </c>
      <c r="C580" s="10" t="s">
        <v>530</v>
      </c>
      <c r="D580" s="10" t="s">
        <v>588</v>
      </c>
      <c r="E580" s="10" t="str">
        <f>"644020240514141555179105"</f>
        <v>644020240514141555179105</v>
      </c>
      <c r="F580" s="9"/>
    </row>
    <row r="581" s="2" customFormat="1" ht="30" customHeight="1" spans="1:6">
      <c r="A581" s="9">
        <v>578</v>
      </c>
      <c r="B581" s="10" t="s">
        <v>529</v>
      </c>
      <c r="C581" s="10" t="s">
        <v>530</v>
      </c>
      <c r="D581" s="10" t="s">
        <v>589</v>
      </c>
      <c r="E581" s="10" t="str">
        <f>"644020240514153703179329"</f>
        <v>644020240514153703179329</v>
      </c>
      <c r="F581" s="9"/>
    </row>
    <row r="582" s="2" customFormat="1" ht="30" customHeight="1" spans="1:6">
      <c r="A582" s="9">
        <v>579</v>
      </c>
      <c r="B582" s="10" t="s">
        <v>529</v>
      </c>
      <c r="C582" s="10" t="s">
        <v>530</v>
      </c>
      <c r="D582" s="10" t="s">
        <v>590</v>
      </c>
      <c r="E582" s="10" t="str">
        <f>"644020240514164312179548"</f>
        <v>644020240514164312179548</v>
      </c>
      <c r="F582" s="9"/>
    </row>
    <row r="583" s="2" customFormat="1" ht="30" customHeight="1" spans="1:6">
      <c r="A583" s="9">
        <v>580</v>
      </c>
      <c r="B583" s="10" t="s">
        <v>529</v>
      </c>
      <c r="C583" s="10" t="s">
        <v>530</v>
      </c>
      <c r="D583" s="10" t="s">
        <v>591</v>
      </c>
      <c r="E583" s="10" t="str">
        <f>"644020240513165811176083"</f>
        <v>644020240513165811176083</v>
      </c>
      <c r="F583" s="9"/>
    </row>
    <row r="584" s="2" customFormat="1" ht="30" customHeight="1" spans="1:6">
      <c r="A584" s="9">
        <v>581</v>
      </c>
      <c r="B584" s="10" t="s">
        <v>529</v>
      </c>
      <c r="C584" s="10" t="s">
        <v>530</v>
      </c>
      <c r="D584" s="10" t="s">
        <v>61</v>
      </c>
      <c r="E584" s="10" t="str">
        <f>"644020240513101315173243"</f>
        <v>644020240513101315173243</v>
      </c>
      <c r="F584" s="9"/>
    </row>
    <row r="585" s="2" customFormat="1" ht="30" customHeight="1" spans="1:6">
      <c r="A585" s="9">
        <v>582</v>
      </c>
      <c r="B585" s="10" t="s">
        <v>529</v>
      </c>
      <c r="C585" s="10" t="s">
        <v>530</v>
      </c>
      <c r="D585" s="10" t="s">
        <v>592</v>
      </c>
      <c r="E585" s="10" t="str">
        <f>"644020240514201520180015"</f>
        <v>644020240514201520180015</v>
      </c>
      <c r="F585" s="9"/>
    </row>
    <row r="586" s="2" customFormat="1" ht="30" customHeight="1" spans="1:6">
      <c r="A586" s="9">
        <v>583</v>
      </c>
      <c r="B586" s="10" t="s">
        <v>529</v>
      </c>
      <c r="C586" s="10" t="s">
        <v>530</v>
      </c>
      <c r="D586" s="10" t="s">
        <v>593</v>
      </c>
      <c r="E586" s="10" t="str">
        <f>"644020240514204755180067"</f>
        <v>644020240514204755180067</v>
      </c>
      <c r="F586" s="9"/>
    </row>
    <row r="587" s="2" customFormat="1" ht="30" customHeight="1" spans="1:6">
      <c r="A587" s="9">
        <v>584</v>
      </c>
      <c r="B587" s="10" t="s">
        <v>529</v>
      </c>
      <c r="C587" s="10" t="s">
        <v>530</v>
      </c>
      <c r="D587" s="10" t="s">
        <v>594</v>
      </c>
      <c r="E587" s="10" t="str">
        <f>"644020240514151726179253"</f>
        <v>644020240514151726179253</v>
      </c>
      <c r="F587" s="9"/>
    </row>
    <row r="588" s="2" customFormat="1" ht="30" customHeight="1" spans="1:6">
      <c r="A588" s="9">
        <v>585</v>
      </c>
      <c r="B588" s="10" t="s">
        <v>529</v>
      </c>
      <c r="C588" s="10" t="s">
        <v>530</v>
      </c>
      <c r="D588" s="10" t="s">
        <v>595</v>
      </c>
      <c r="E588" s="10" t="str">
        <f>"644020240514214600180248"</f>
        <v>644020240514214600180248</v>
      </c>
      <c r="F588" s="9"/>
    </row>
    <row r="589" s="2" customFormat="1" ht="30" customHeight="1" spans="1:6">
      <c r="A589" s="9">
        <v>586</v>
      </c>
      <c r="B589" s="10" t="s">
        <v>529</v>
      </c>
      <c r="C589" s="10" t="s">
        <v>530</v>
      </c>
      <c r="D589" s="10" t="s">
        <v>596</v>
      </c>
      <c r="E589" s="10" t="str">
        <f>"644020240514200558179988"</f>
        <v>644020240514200558179988</v>
      </c>
      <c r="F589" s="9"/>
    </row>
    <row r="590" s="2" customFormat="1" ht="30" customHeight="1" spans="1:6">
      <c r="A590" s="9">
        <v>587</v>
      </c>
      <c r="B590" s="10" t="s">
        <v>529</v>
      </c>
      <c r="C590" s="10" t="s">
        <v>530</v>
      </c>
      <c r="D590" s="10" t="s">
        <v>597</v>
      </c>
      <c r="E590" s="10" t="str">
        <f>"644020240513210123176965"</f>
        <v>644020240513210123176965</v>
      </c>
      <c r="F590" s="9"/>
    </row>
    <row r="591" s="2" customFormat="1" ht="30" customHeight="1" spans="1:6">
      <c r="A591" s="9">
        <v>588</v>
      </c>
      <c r="B591" s="10" t="s">
        <v>529</v>
      </c>
      <c r="C591" s="10" t="s">
        <v>530</v>
      </c>
      <c r="D591" s="10" t="s">
        <v>598</v>
      </c>
      <c r="E591" s="10" t="str">
        <f>"644020240514212853180203"</f>
        <v>644020240514212853180203</v>
      </c>
      <c r="F591" s="9"/>
    </row>
    <row r="592" s="2" customFormat="1" ht="30" customHeight="1" spans="1:6">
      <c r="A592" s="9">
        <v>589</v>
      </c>
      <c r="B592" s="10" t="s">
        <v>529</v>
      </c>
      <c r="C592" s="10" t="s">
        <v>530</v>
      </c>
      <c r="D592" s="10" t="s">
        <v>599</v>
      </c>
      <c r="E592" s="10" t="str">
        <f>"644020240514232159180510"</f>
        <v>644020240514232159180510</v>
      </c>
      <c r="F592" s="9"/>
    </row>
    <row r="593" s="2" customFormat="1" ht="30" customHeight="1" spans="1:6">
      <c r="A593" s="9">
        <v>590</v>
      </c>
      <c r="B593" s="10" t="s">
        <v>529</v>
      </c>
      <c r="C593" s="10" t="s">
        <v>530</v>
      </c>
      <c r="D593" s="10" t="s">
        <v>600</v>
      </c>
      <c r="E593" s="10" t="str">
        <f>"644020240515091132180798"</f>
        <v>644020240515091132180798</v>
      </c>
      <c r="F593" s="9"/>
    </row>
    <row r="594" s="2" customFormat="1" ht="30" customHeight="1" spans="1:6">
      <c r="A594" s="9">
        <v>591</v>
      </c>
      <c r="B594" s="10" t="s">
        <v>529</v>
      </c>
      <c r="C594" s="10" t="s">
        <v>530</v>
      </c>
      <c r="D594" s="10" t="s">
        <v>601</v>
      </c>
      <c r="E594" s="10" t="str">
        <f>"644020240513142555174941"</f>
        <v>644020240513142555174941</v>
      </c>
      <c r="F594" s="9"/>
    </row>
    <row r="595" s="2" customFormat="1" ht="30" customHeight="1" spans="1:6">
      <c r="A595" s="9">
        <v>592</v>
      </c>
      <c r="B595" s="10" t="s">
        <v>529</v>
      </c>
      <c r="C595" s="10" t="s">
        <v>530</v>
      </c>
      <c r="D595" s="10" t="s">
        <v>602</v>
      </c>
      <c r="E595" s="10" t="str">
        <f>"644020240515102545181028"</f>
        <v>644020240515102545181028</v>
      </c>
      <c r="F595" s="9"/>
    </row>
    <row r="596" s="2" customFormat="1" ht="30" customHeight="1" spans="1:6">
      <c r="A596" s="9">
        <v>593</v>
      </c>
      <c r="B596" s="10" t="s">
        <v>529</v>
      </c>
      <c r="C596" s="10" t="s">
        <v>530</v>
      </c>
      <c r="D596" s="10" t="s">
        <v>603</v>
      </c>
      <c r="E596" s="10" t="str">
        <f>"644020240513095540173083"</f>
        <v>644020240513095540173083</v>
      </c>
      <c r="F596" s="9"/>
    </row>
    <row r="597" s="2" customFormat="1" ht="30" customHeight="1" spans="1:6">
      <c r="A597" s="9">
        <v>594</v>
      </c>
      <c r="B597" s="10" t="s">
        <v>529</v>
      </c>
      <c r="C597" s="10" t="s">
        <v>530</v>
      </c>
      <c r="D597" s="10" t="s">
        <v>604</v>
      </c>
      <c r="E597" s="10" t="str">
        <f>"644020240515083647180713"</f>
        <v>644020240515083647180713</v>
      </c>
      <c r="F597" s="9"/>
    </row>
    <row r="598" s="2" customFormat="1" ht="30" customHeight="1" spans="1:6">
      <c r="A598" s="9">
        <v>595</v>
      </c>
      <c r="B598" s="10" t="s">
        <v>529</v>
      </c>
      <c r="C598" s="10" t="s">
        <v>530</v>
      </c>
      <c r="D598" s="10" t="s">
        <v>605</v>
      </c>
      <c r="E598" s="10" t="str">
        <f>"644020240513155250175715"</f>
        <v>644020240513155250175715</v>
      </c>
      <c r="F598" s="9"/>
    </row>
    <row r="599" s="2" customFormat="1" ht="30" customHeight="1" spans="1:6">
      <c r="A599" s="9">
        <v>596</v>
      </c>
      <c r="B599" s="10" t="s">
        <v>529</v>
      </c>
      <c r="C599" s="10" t="s">
        <v>530</v>
      </c>
      <c r="D599" s="10" t="s">
        <v>606</v>
      </c>
      <c r="E599" s="10" t="str">
        <f>"644020240514184927179868"</f>
        <v>644020240514184927179868</v>
      </c>
      <c r="F599" s="9"/>
    </row>
    <row r="600" s="2" customFormat="1" ht="30" customHeight="1" spans="1:6">
      <c r="A600" s="9">
        <v>597</v>
      </c>
      <c r="B600" s="10" t="s">
        <v>529</v>
      </c>
      <c r="C600" s="10" t="s">
        <v>530</v>
      </c>
      <c r="D600" s="10" t="s">
        <v>607</v>
      </c>
      <c r="E600" s="10" t="str">
        <f>"644020240515100358180953"</f>
        <v>644020240515100358180953</v>
      </c>
      <c r="F600" s="9"/>
    </row>
    <row r="601" s="2" customFormat="1" ht="30" customHeight="1" spans="1:6">
      <c r="A601" s="9">
        <v>598</v>
      </c>
      <c r="B601" s="10" t="s">
        <v>529</v>
      </c>
      <c r="C601" s="10" t="s">
        <v>530</v>
      </c>
      <c r="D601" s="10" t="s">
        <v>608</v>
      </c>
      <c r="E601" s="10" t="str">
        <f>"644020240513105412173633"</f>
        <v>644020240513105412173633</v>
      </c>
      <c r="F601" s="9"/>
    </row>
    <row r="602" s="2" customFormat="1" ht="30" customHeight="1" spans="1:6">
      <c r="A602" s="9">
        <v>599</v>
      </c>
      <c r="B602" s="10" t="s">
        <v>529</v>
      </c>
      <c r="C602" s="10" t="s">
        <v>530</v>
      </c>
      <c r="D602" s="10" t="s">
        <v>609</v>
      </c>
      <c r="E602" s="10" t="str">
        <f>"644020240514121540178864"</f>
        <v>644020240514121540178864</v>
      </c>
      <c r="F602" s="9"/>
    </row>
    <row r="603" s="2" customFormat="1" ht="30" customHeight="1" spans="1:6">
      <c r="A603" s="9">
        <v>600</v>
      </c>
      <c r="B603" s="10" t="s">
        <v>529</v>
      </c>
      <c r="C603" s="10" t="s">
        <v>530</v>
      </c>
      <c r="D603" s="10" t="s">
        <v>610</v>
      </c>
      <c r="E603" s="10" t="str">
        <f>"644020240515120345181328"</f>
        <v>644020240515120345181328</v>
      </c>
      <c r="F603" s="9"/>
    </row>
    <row r="604" s="2" customFormat="1" ht="30" customHeight="1" spans="1:6">
      <c r="A604" s="9">
        <v>601</v>
      </c>
      <c r="B604" s="10" t="s">
        <v>529</v>
      </c>
      <c r="C604" s="10" t="s">
        <v>530</v>
      </c>
      <c r="D604" s="10" t="s">
        <v>611</v>
      </c>
      <c r="E604" s="10" t="str">
        <f>"644020240515131846181450"</f>
        <v>644020240515131846181450</v>
      </c>
      <c r="F604" s="9"/>
    </row>
    <row r="605" s="2" customFormat="1" ht="30" customHeight="1" spans="1:6">
      <c r="A605" s="9">
        <v>602</v>
      </c>
      <c r="B605" s="10" t="s">
        <v>529</v>
      </c>
      <c r="C605" s="10" t="s">
        <v>530</v>
      </c>
      <c r="D605" s="10" t="s">
        <v>612</v>
      </c>
      <c r="E605" s="10" t="str">
        <f>"644020240515132837181463"</f>
        <v>644020240515132837181463</v>
      </c>
      <c r="F605" s="9"/>
    </row>
    <row r="606" s="2" customFormat="1" ht="30" customHeight="1" spans="1:6">
      <c r="A606" s="9">
        <v>603</v>
      </c>
      <c r="B606" s="10" t="s">
        <v>529</v>
      </c>
      <c r="C606" s="10" t="s">
        <v>530</v>
      </c>
      <c r="D606" s="10" t="s">
        <v>613</v>
      </c>
      <c r="E606" s="10" t="str">
        <f>"644020240514114507178782"</f>
        <v>644020240514114507178782</v>
      </c>
      <c r="F606" s="9"/>
    </row>
    <row r="607" s="2" customFormat="1" ht="30" customHeight="1" spans="1:6">
      <c r="A607" s="9">
        <v>604</v>
      </c>
      <c r="B607" s="10" t="s">
        <v>529</v>
      </c>
      <c r="C607" s="10" t="s">
        <v>530</v>
      </c>
      <c r="D607" s="10" t="s">
        <v>614</v>
      </c>
      <c r="E607" s="10" t="str">
        <f>"644020240515122919181373"</f>
        <v>644020240515122919181373</v>
      </c>
      <c r="F607" s="9"/>
    </row>
    <row r="608" s="2" customFormat="1" ht="30" customHeight="1" spans="1:6">
      <c r="A608" s="9">
        <v>605</v>
      </c>
      <c r="B608" s="10" t="s">
        <v>529</v>
      </c>
      <c r="C608" s="10" t="s">
        <v>530</v>
      </c>
      <c r="D608" s="10" t="s">
        <v>615</v>
      </c>
      <c r="E608" s="10" t="str">
        <f>"644020240514214452180242"</f>
        <v>644020240514214452180242</v>
      </c>
      <c r="F608" s="9"/>
    </row>
    <row r="609" s="2" customFormat="1" ht="30" customHeight="1" spans="1:6">
      <c r="A609" s="9">
        <v>606</v>
      </c>
      <c r="B609" s="10" t="s">
        <v>529</v>
      </c>
      <c r="C609" s="10" t="s">
        <v>530</v>
      </c>
      <c r="D609" s="10" t="s">
        <v>616</v>
      </c>
      <c r="E609" s="10" t="str">
        <f>"644020240513001707171971"</f>
        <v>644020240513001707171971</v>
      </c>
      <c r="F609" s="9"/>
    </row>
    <row r="610" s="2" customFormat="1" ht="30" customHeight="1" spans="1:6">
      <c r="A610" s="9">
        <v>607</v>
      </c>
      <c r="B610" s="10" t="s">
        <v>529</v>
      </c>
      <c r="C610" s="10" t="s">
        <v>530</v>
      </c>
      <c r="D610" s="10" t="s">
        <v>617</v>
      </c>
      <c r="E610" s="10" t="str">
        <f>"644020240514223021180380"</f>
        <v>644020240514223021180380</v>
      </c>
      <c r="F610" s="9"/>
    </row>
    <row r="611" s="2" customFormat="1" ht="30" customHeight="1" spans="1:6">
      <c r="A611" s="9">
        <v>608</v>
      </c>
      <c r="B611" s="10" t="s">
        <v>529</v>
      </c>
      <c r="C611" s="10" t="s">
        <v>530</v>
      </c>
      <c r="D611" s="10" t="s">
        <v>618</v>
      </c>
      <c r="E611" s="10" t="str">
        <f>"644020240515193433182180"</f>
        <v>644020240515193433182180</v>
      </c>
      <c r="F611" s="9"/>
    </row>
    <row r="612" s="2" customFormat="1" ht="30" customHeight="1" spans="1:6">
      <c r="A612" s="9">
        <v>609</v>
      </c>
      <c r="B612" s="10" t="s">
        <v>529</v>
      </c>
      <c r="C612" s="10" t="s">
        <v>530</v>
      </c>
      <c r="D612" s="10" t="s">
        <v>619</v>
      </c>
      <c r="E612" s="10" t="str">
        <f>"644020240514214858180265"</f>
        <v>644020240514214858180265</v>
      </c>
      <c r="F612" s="9"/>
    </row>
    <row r="613" s="2" customFormat="1" ht="30" customHeight="1" spans="1:6">
      <c r="A613" s="9">
        <v>610</v>
      </c>
      <c r="B613" s="10" t="s">
        <v>529</v>
      </c>
      <c r="C613" s="10" t="s">
        <v>530</v>
      </c>
      <c r="D613" s="10" t="s">
        <v>620</v>
      </c>
      <c r="E613" s="10" t="str">
        <f>"644020240515201652182241"</f>
        <v>644020240515201652182241</v>
      </c>
      <c r="F613" s="9"/>
    </row>
    <row r="614" s="2" customFormat="1" ht="30" customHeight="1" spans="1:6">
      <c r="A614" s="9">
        <v>611</v>
      </c>
      <c r="B614" s="10" t="s">
        <v>529</v>
      </c>
      <c r="C614" s="10" t="s">
        <v>530</v>
      </c>
      <c r="D614" s="10" t="s">
        <v>621</v>
      </c>
      <c r="E614" s="10" t="str">
        <f>"644020240514211117180143"</f>
        <v>644020240514211117180143</v>
      </c>
      <c r="F614" s="9"/>
    </row>
    <row r="615" s="2" customFormat="1" ht="30" customHeight="1" spans="1:6">
      <c r="A615" s="9">
        <v>612</v>
      </c>
      <c r="B615" s="10" t="s">
        <v>529</v>
      </c>
      <c r="C615" s="10" t="s">
        <v>530</v>
      </c>
      <c r="D615" s="10" t="s">
        <v>622</v>
      </c>
      <c r="E615" s="10" t="str">
        <f>"644020240515100617180959"</f>
        <v>644020240515100617180959</v>
      </c>
      <c r="F615" s="9"/>
    </row>
    <row r="616" s="2" customFormat="1" ht="30" customHeight="1" spans="1:6">
      <c r="A616" s="9">
        <v>613</v>
      </c>
      <c r="B616" s="10" t="s">
        <v>529</v>
      </c>
      <c r="C616" s="10" t="s">
        <v>530</v>
      </c>
      <c r="D616" s="10" t="s">
        <v>623</v>
      </c>
      <c r="E616" s="10" t="str">
        <f>"644020240513020234172059"</f>
        <v>644020240513020234172059</v>
      </c>
      <c r="F616" s="9"/>
    </row>
    <row r="617" s="2" customFormat="1" ht="30" customHeight="1" spans="1:6">
      <c r="A617" s="9">
        <v>614</v>
      </c>
      <c r="B617" s="10" t="s">
        <v>529</v>
      </c>
      <c r="C617" s="10" t="s">
        <v>530</v>
      </c>
      <c r="D617" s="10" t="s">
        <v>624</v>
      </c>
      <c r="E617" s="10" t="str">
        <f>"644020240515222245182404"</f>
        <v>644020240515222245182404</v>
      </c>
      <c r="F617" s="9"/>
    </row>
    <row r="618" s="2" customFormat="1" ht="30" customHeight="1" spans="1:6">
      <c r="A618" s="9">
        <v>615</v>
      </c>
      <c r="B618" s="10" t="s">
        <v>529</v>
      </c>
      <c r="C618" s="10" t="s">
        <v>530</v>
      </c>
      <c r="D618" s="10" t="s">
        <v>625</v>
      </c>
      <c r="E618" s="10" t="str">
        <f>"644020240514230604180470"</f>
        <v>644020240514230604180470</v>
      </c>
      <c r="F618" s="9"/>
    </row>
    <row r="619" s="2" customFormat="1" ht="30" customHeight="1" spans="1:6">
      <c r="A619" s="9">
        <v>616</v>
      </c>
      <c r="B619" s="10" t="s">
        <v>529</v>
      </c>
      <c r="C619" s="10" t="s">
        <v>530</v>
      </c>
      <c r="D619" s="10" t="s">
        <v>626</v>
      </c>
      <c r="E619" s="10" t="str">
        <f>"644020240516084126182790"</f>
        <v>644020240516084126182790</v>
      </c>
      <c r="F619" s="9"/>
    </row>
    <row r="620" s="2" customFormat="1" ht="30" customHeight="1" spans="1:6">
      <c r="A620" s="9">
        <v>617</v>
      </c>
      <c r="B620" s="10" t="s">
        <v>529</v>
      </c>
      <c r="C620" s="10" t="s">
        <v>530</v>
      </c>
      <c r="D620" s="10" t="s">
        <v>627</v>
      </c>
      <c r="E620" s="10" t="str">
        <f>"644020240516092829182871"</f>
        <v>644020240516092829182871</v>
      </c>
      <c r="F620" s="9"/>
    </row>
    <row r="621" s="2" customFormat="1" ht="30" customHeight="1" spans="1:6">
      <c r="A621" s="9">
        <v>618</v>
      </c>
      <c r="B621" s="10" t="s">
        <v>529</v>
      </c>
      <c r="C621" s="10" t="s">
        <v>530</v>
      </c>
      <c r="D621" s="10" t="s">
        <v>628</v>
      </c>
      <c r="E621" s="10" t="str">
        <f>"644020240516093344182885"</f>
        <v>644020240516093344182885</v>
      </c>
      <c r="F621" s="9"/>
    </row>
    <row r="622" s="2" customFormat="1" ht="30" customHeight="1" spans="1:6">
      <c r="A622" s="9">
        <v>619</v>
      </c>
      <c r="B622" s="10" t="s">
        <v>529</v>
      </c>
      <c r="C622" s="10" t="s">
        <v>530</v>
      </c>
      <c r="D622" s="10" t="s">
        <v>629</v>
      </c>
      <c r="E622" s="10" t="str">
        <f>"644020240516114053183192"</f>
        <v>644020240516114053183192</v>
      </c>
      <c r="F622" s="9"/>
    </row>
    <row r="623" s="2" customFormat="1" ht="30" customHeight="1" spans="1:6">
      <c r="A623" s="9">
        <v>620</v>
      </c>
      <c r="B623" s="10" t="s">
        <v>529</v>
      </c>
      <c r="C623" s="10" t="s">
        <v>530</v>
      </c>
      <c r="D623" s="10" t="s">
        <v>630</v>
      </c>
      <c r="E623" s="10" t="str">
        <f>"644020240514213900180225"</f>
        <v>644020240514213900180225</v>
      </c>
      <c r="F623" s="9"/>
    </row>
    <row r="624" s="2" customFormat="1" ht="30" customHeight="1" spans="1:6">
      <c r="A624" s="9">
        <v>621</v>
      </c>
      <c r="B624" s="10" t="s">
        <v>529</v>
      </c>
      <c r="C624" s="10" t="s">
        <v>530</v>
      </c>
      <c r="D624" s="10" t="s">
        <v>631</v>
      </c>
      <c r="E624" s="10" t="str">
        <f>"644020240513212111177053"</f>
        <v>644020240513212111177053</v>
      </c>
      <c r="F624" s="9"/>
    </row>
    <row r="625" s="2" customFormat="1" ht="30" customHeight="1" spans="1:6">
      <c r="A625" s="9">
        <v>622</v>
      </c>
      <c r="B625" s="10" t="s">
        <v>529</v>
      </c>
      <c r="C625" s="10" t="s">
        <v>530</v>
      </c>
      <c r="D625" s="10" t="s">
        <v>632</v>
      </c>
      <c r="E625" s="10" t="str">
        <f>"644020240513233953177600"</f>
        <v>644020240513233953177600</v>
      </c>
      <c r="F625" s="9"/>
    </row>
    <row r="626" s="2" customFormat="1" ht="30" customHeight="1" spans="1:6">
      <c r="A626" s="9">
        <v>623</v>
      </c>
      <c r="B626" s="10" t="s">
        <v>529</v>
      </c>
      <c r="C626" s="10" t="s">
        <v>530</v>
      </c>
      <c r="D626" s="10" t="s">
        <v>633</v>
      </c>
      <c r="E626" s="10" t="str">
        <f>"644020240516134009183384"</f>
        <v>644020240516134009183384</v>
      </c>
      <c r="F626" s="9"/>
    </row>
    <row r="627" s="2" customFormat="1" ht="30" customHeight="1" spans="1:6">
      <c r="A627" s="9">
        <v>624</v>
      </c>
      <c r="B627" s="10" t="s">
        <v>529</v>
      </c>
      <c r="C627" s="10" t="s">
        <v>530</v>
      </c>
      <c r="D627" s="10" t="s">
        <v>35</v>
      </c>
      <c r="E627" s="10" t="str">
        <f>"644020240514201023179999"</f>
        <v>644020240514201023179999</v>
      </c>
      <c r="F627" s="9"/>
    </row>
    <row r="628" s="2" customFormat="1" ht="30" customHeight="1" spans="1:6">
      <c r="A628" s="9">
        <v>625</v>
      </c>
      <c r="B628" s="10" t="s">
        <v>529</v>
      </c>
      <c r="C628" s="10" t="s">
        <v>530</v>
      </c>
      <c r="D628" s="10" t="s">
        <v>634</v>
      </c>
      <c r="E628" s="10" t="str">
        <f>"644020240515102550181031"</f>
        <v>644020240515102550181031</v>
      </c>
      <c r="F628" s="9"/>
    </row>
    <row r="629" s="2" customFormat="1" ht="30" customHeight="1" spans="1:6">
      <c r="A629" s="9">
        <v>626</v>
      </c>
      <c r="B629" s="10" t="s">
        <v>529</v>
      </c>
      <c r="C629" s="10" t="s">
        <v>530</v>
      </c>
      <c r="D629" s="10" t="s">
        <v>635</v>
      </c>
      <c r="E629" s="10" t="str">
        <f>"644020240515111445181196"</f>
        <v>644020240515111445181196</v>
      </c>
      <c r="F629" s="9"/>
    </row>
    <row r="630" s="2" customFormat="1" ht="30" customHeight="1" spans="1:6">
      <c r="A630" s="9">
        <v>627</v>
      </c>
      <c r="B630" s="10" t="s">
        <v>529</v>
      </c>
      <c r="C630" s="10" t="s">
        <v>530</v>
      </c>
      <c r="D630" s="10" t="s">
        <v>636</v>
      </c>
      <c r="E630" s="10" t="str">
        <f>"644020240516180708183893"</f>
        <v>644020240516180708183893</v>
      </c>
      <c r="F630" s="9"/>
    </row>
    <row r="631" s="2" customFormat="1" ht="30" customHeight="1" spans="1:6">
      <c r="A631" s="9">
        <v>628</v>
      </c>
      <c r="B631" s="10" t="s">
        <v>529</v>
      </c>
      <c r="C631" s="10" t="s">
        <v>530</v>
      </c>
      <c r="D631" s="10" t="s">
        <v>637</v>
      </c>
      <c r="E631" s="10" t="str">
        <f>"644020240516202925184057"</f>
        <v>644020240516202925184057</v>
      </c>
      <c r="F631" s="9"/>
    </row>
    <row r="632" s="2" customFormat="1" ht="30" customHeight="1" spans="1:6">
      <c r="A632" s="9">
        <v>629</v>
      </c>
      <c r="B632" s="10" t="s">
        <v>529</v>
      </c>
      <c r="C632" s="10" t="s">
        <v>530</v>
      </c>
      <c r="D632" s="10" t="s">
        <v>638</v>
      </c>
      <c r="E632" s="10" t="str">
        <f>"644020240516213929184164"</f>
        <v>644020240516213929184164</v>
      </c>
      <c r="F632" s="9"/>
    </row>
    <row r="633" s="2" customFormat="1" ht="30" customHeight="1" spans="1:6">
      <c r="A633" s="9">
        <v>630</v>
      </c>
      <c r="B633" s="10" t="s">
        <v>529</v>
      </c>
      <c r="C633" s="10" t="s">
        <v>530</v>
      </c>
      <c r="D633" s="10" t="s">
        <v>639</v>
      </c>
      <c r="E633" s="10" t="str">
        <f>"644020240516213431184149"</f>
        <v>644020240516213431184149</v>
      </c>
      <c r="F633" s="9"/>
    </row>
    <row r="634" s="2" customFormat="1" ht="30" customHeight="1" spans="1:6">
      <c r="A634" s="9">
        <v>631</v>
      </c>
      <c r="B634" s="10" t="s">
        <v>529</v>
      </c>
      <c r="C634" s="10" t="s">
        <v>530</v>
      </c>
      <c r="D634" s="10" t="s">
        <v>640</v>
      </c>
      <c r="E634" s="10" t="str">
        <f>"644020240516081058182747"</f>
        <v>644020240516081058182747</v>
      </c>
      <c r="F634" s="9"/>
    </row>
    <row r="635" s="2" customFormat="1" ht="30" customHeight="1" spans="1:6">
      <c r="A635" s="9">
        <v>632</v>
      </c>
      <c r="B635" s="10" t="s">
        <v>529</v>
      </c>
      <c r="C635" s="10" t="s">
        <v>530</v>
      </c>
      <c r="D635" s="10" t="s">
        <v>641</v>
      </c>
      <c r="E635" s="10" t="str">
        <f>"644020240516221943184267"</f>
        <v>644020240516221943184267</v>
      </c>
      <c r="F635" s="9"/>
    </row>
    <row r="636" s="2" customFormat="1" ht="30" customHeight="1" spans="1:6">
      <c r="A636" s="9">
        <v>633</v>
      </c>
      <c r="B636" s="10" t="s">
        <v>529</v>
      </c>
      <c r="C636" s="10" t="s">
        <v>530</v>
      </c>
      <c r="D636" s="10" t="s">
        <v>642</v>
      </c>
      <c r="E636" s="10" t="str">
        <f>"644020240516223653184309"</f>
        <v>644020240516223653184309</v>
      </c>
      <c r="F636" s="9"/>
    </row>
    <row r="637" s="2" customFormat="1" ht="30" customHeight="1" spans="1:6">
      <c r="A637" s="9">
        <v>634</v>
      </c>
      <c r="B637" s="10" t="s">
        <v>529</v>
      </c>
      <c r="C637" s="10" t="s">
        <v>530</v>
      </c>
      <c r="D637" s="10" t="s">
        <v>643</v>
      </c>
      <c r="E637" s="10" t="str">
        <f>"644020240516230631184367"</f>
        <v>644020240516230631184367</v>
      </c>
      <c r="F637" s="9"/>
    </row>
    <row r="638" s="2" customFormat="1" ht="30" customHeight="1" spans="1:6">
      <c r="A638" s="9">
        <v>635</v>
      </c>
      <c r="B638" s="10" t="s">
        <v>529</v>
      </c>
      <c r="C638" s="10" t="s">
        <v>530</v>
      </c>
      <c r="D638" s="10" t="s">
        <v>644</v>
      </c>
      <c r="E638" s="10" t="str">
        <f>"644020240517000415184465"</f>
        <v>644020240517000415184465</v>
      </c>
      <c r="F638" s="9"/>
    </row>
    <row r="639" s="2" customFormat="1" ht="30" customHeight="1" spans="1:6">
      <c r="A639" s="9">
        <v>636</v>
      </c>
      <c r="B639" s="10" t="s">
        <v>529</v>
      </c>
      <c r="C639" s="10" t="s">
        <v>530</v>
      </c>
      <c r="D639" s="10" t="s">
        <v>645</v>
      </c>
      <c r="E639" s="10" t="str">
        <f>"644020240517084905184665"</f>
        <v>644020240517084905184665</v>
      </c>
      <c r="F639" s="9"/>
    </row>
    <row r="640" s="2" customFormat="1" ht="30" customHeight="1" spans="1:6">
      <c r="A640" s="9">
        <v>637</v>
      </c>
      <c r="B640" s="10" t="s">
        <v>529</v>
      </c>
      <c r="C640" s="10" t="s">
        <v>530</v>
      </c>
      <c r="D640" s="10" t="s">
        <v>646</v>
      </c>
      <c r="E640" s="10" t="str">
        <f>"644020240517090924184706"</f>
        <v>644020240517090924184706</v>
      </c>
      <c r="F640" s="9"/>
    </row>
    <row r="641" s="2" customFormat="1" ht="30" customHeight="1" spans="1:6">
      <c r="A641" s="9">
        <v>638</v>
      </c>
      <c r="B641" s="10" t="s">
        <v>529</v>
      </c>
      <c r="C641" s="10" t="s">
        <v>530</v>
      </c>
      <c r="D641" s="10" t="s">
        <v>647</v>
      </c>
      <c r="E641" s="10" t="str">
        <f>"644020240517084647184656"</f>
        <v>644020240517084647184656</v>
      </c>
      <c r="F641" s="9"/>
    </row>
    <row r="642" s="2" customFormat="1" ht="30" customHeight="1" spans="1:6">
      <c r="A642" s="9">
        <v>639</v>
      </c>
      <c r="B642" s="10" t="s">
        <v>529</v>
      </c>
      <c r="C642" s="10" t="s">
        <v>530</v>
      </c>
      <c r="D642" s="10" t="s">
        <v>648</v>
      </c>
      <c r="E642" s="10" t="str">
        <f>"644020240517100116184816"</f>
        <v>644020240517100116184816</v>
      </c>
      <c r="F642" s="9"/>
    </row>
    <row r="643" s="2" customFormat="1" ht="30" customHeight="1" spans="1:6">
      <c r="A643" s="9">
        <v>640</v>
      </c>
      <c r="B643" s="10" t="s">
        <v>529</v>
      </c>
      <c r="C643" s="10" t="s">
        <v>530</v>
      </c>
      <c r="D643" s="10" t="s">
        <v>649</v>
      </c>
      <c r="E643" s="10" t="str">
        <f>"644020240517103924184902"</f>
        <v>644020240517103924184902</v>
      </c>
      <c r="F643" s="9"/>
    </row>
    <row r="644" s="2" customFormat="1" ht="30" customHeight="1" spans="1:6">
      <c r="A644" s="9">
        <v>641</v>
      </c>
      <c r="B644" s="10" t="s">
        <v>529</v>
      </c>
      <c r="C644" s="10" t="s">
        <v>530</v>
      </c>
      <c r="D644" s="10" t="s">
        <v>650</v>
      </c>
      <c r="E644" s="10" t="str">
        <f>"644020240517104641184920"</f>
        <v>644020240517104641184920</v>
      </c>
      <c r="F644" s="9"/>
    </row>
    <row r="645" s="2" customFormat="1" ht="30" customHeight="1" spans="1:6">
      <c r="A645" s="9">
        <v>642</v>
      </c>
      <c r="B645" s="10" t="s">
        <v>529</v>
      </c>
      <c r="C645" s="10" t="s">
        <v>530</v>
      </c>
      <c r="D645" s="10" t="s">
        <v>651</v>
      </c>
      <c r="E645" s="10" t="str">
        <f>"644020240515004043180605"</f>
        <v>644020240515004043180605</v>
      </c>
      <c r="F645" s="9"/>
    </row>
    <row r="646" s="2" customFormat="1" ht="30" customHeight="1" spans="1:6">
      <c r="A646" s="9">
        <v>643</v>
      </c>
      <c r="B646" s="10" t="s">
        <v>529</v>
      </c>
      <c r="C646" s="10" t="s">
        <v>530</v>
      </c>
      <c r="D646" s="10" t="s">
        <v>652</v>
      </c>
      <c r="E646" s="10" t="str">
        <f>"644020240517130941185227"</f>
        <v>644020240517130941185227</v>
      </c>
      <c r="F646" s="9"/>
    </row>
    <row r="647" s="2" customFormat="1" ht="30" customHeight="1" spans="1:6">
      <c r="A647" s="9">
        <v>644</v>
      </c>
      <c r="B647" s="10" t="s">
        <v>529</v>
      </c>
      <c r="C647" s="10" t="s">
        <v>530</v>
      </c>
      <c r="D647" s="10" t="s">
        <v>653</v>
      </c>
      <c r="E647" s="10" t="str">
        <f>"644020240517160202185592"</f>
        <v>644020240517160202185592</v>
      </c>
      <c r="F647" s="9"/>
    </row>
    <row r="648" s="2" customFormat="1" ht="30" customHeight="1" spans="1:6">
      <c r="A648" s="9">
        <v>645</v>
      </c>
      <c r="B648" s="10" t="s">
        <v>529</v>
      </c>
      <c r="C648" s="10" t="s">
        <v>530</v>
      </c>
      <c r="D648" s="10" t="s">
        <v>654</v>
      </c>
      <c r="E648" s="10" t="str">
        <f>"644020240517163340185658"</f>
        <v>644020240517163340185658</v>
      </c>
      <c r="F648" s="9"/>
    </row>
    <row r="649" s="2" customFormat="1" ht="30" customHeight="1" spans="1:6">
      <c r="A649" s="9">
        <v>646</v>
      </c>
      <c r="B649" s="10" t="s">
        <v>529</v>
      </c>
      <c r="C649" s="10" t="s">
        <v>530</v>
      </c>
      <c r="D649" s="10" t="s">
        <v>655</v>
      </c>
      <c r="E649" s="10" t="str">
        <f>"644020240517161659185627"</f>
        <v>644020240517161659185627</v>
      </c>
      <c r="F649" s="9"/>
    </row>
    <row r="650" s="2" customFormat="1" ht="30" customHeight="1" spans="1:6">
      <c r="A650" s="9">
        <v>647</v>
      </c>
      <c r="B650" s="10" t="s">
        <v>529</v>
      </c>
      <c r="C650" s="10" t="s">
        <v>530</v>
      </c>
      <c r="D650" s="10" t="s">
        <v>656</v>
      </c>
      <c r="E650" s="10" t="str">
        <f>"644020240516082544182764"</f>
        <v>644020240516082544182764</v>
      </c>
      <c r="F650" s="9"/>
    </row>
    <row r="651" s="2" customFormat="1" ht="30" customHeight="1" spans="1:6">
      <c r="A651" s="9">
        <v>648</v>
      </c>
      <c r="B651" s="10" t="s">
        <v>529</v>
      </c>
      <c r="C651" s="10" t="s">
        <v>530</v>
      </c>
      <c r="D651" s="10" t="s">
        <v>657</v>
      </c>
      <c r="E651" s="10" t="str">
        <f>"644020240513152057175380"</f>
        <v>644020240513152057175380</v>
      </c>
      <c r="F651" s="9"/>
    </row>
    <row r="652" s="2" customFormat="1" ht="30" customHeight="1" spans="1:6">
      <c r="A652" s="9">
        <v>649</v>
      </c>
      <c r="B652" s="10" t="s">
        <v>529</v>
      </c>
      <c r="C652" s="10" t="s">
        <v>530</v>
      </c>
      <c r="D652" s="10" t="s">
        <v>658</v>
      </c>
      <c r="E652" s="10" t="str">
        <f>"644020240517192620185886"</f>
        <v>644020240517192620185886</v>
      </c>
      <c r="F652" s="9"/>
    </row>
    <row r="653" s="2" customFormat="1" ht="30" customHeight="1" spans="1:6">
      <c r="A653" s="9">
        <v>650</v>
      </c>
      <c r="B653" s="10" t="s">
        <v>529</v>
      </c>
      <c r="C653" s="10" t="s">
        <v>530</v>
      </c>
      <c r="D653" s="10" t="s">
        <v>659</v>
      </c>
      <c r="E653" s="10" t="str">
        <f>"644020240514230623180471"</f>
        <v>644020240514230623180471</v>
      </c>
      <c r="F653" s="9"/>
    </row>
    <row r="654" s="2" customFormat="1" ht="30" customHeight="1" spans="1:6">
      <c r="A654" s="9">
        <v>651</v>
      </c>
      <c r="B654" s="10" t="s">
        <v>529</v>
      </c>
      <c r="C654" s="10" t="s">
        <v>530</v>
      </c>
      <c r="D654" s="10" t="s">
        <v>660</v>
      </c>
      <c r="E654" s="10" t="str">
        <f>"644020240517192659185887"</f>
        <v>644020240517192659185887</v>
      </c>
      <c r="F654" s="9"/>
    </row>
    <row r="655" s="2" customFormat="1" ht="30" customHeight="1" spans="1:6">
      <c r="A655" s="9">
        <v>652</v>
      </c>
      <c r="B655" s="10" t="s">
        <v>529</v>
      </c>
      <c r="C655" s="10" t="s">
        <v>530</v>
      </c>
      <c r="D655" s="10" t="s">
        <v>661</v>
      </c>
      <c r="E655" s="10" t="str">
        <f>"644020240518091313186469"</f>
        <v>644020240518091313186469</v>
      </c>
      <c r="F655" s="9"/>
    </row>
    <row r="656" s="2" customFormat="1" ht="30" customHeight="1" spans="1:6">
      <c r="A656" s="9">
        <v>653</v>
      </c>
      <c r="B656" s="10" t="s">
        <v>529</v>
      </c>
      <c r="C656" s="10" t="s">
        <v>530</v>
      </c>
      <c r="D656" s="10" t="s">
        <v>662</v>
      </c>
      <c r="E656" s="10" t="str">
        <f>"644020240518105306186706"</f>
        <v>644020240518105306186706</v>
      </c>
      <c r="F656" s="9"/>
    </row>
    <row r="657" s="2" customFormat="1" ht="30" customHeight="1" spans="1:6">
      <c r="A657" s="9">
        <v>654</v>
      </c>
      <c r="B657" s="10" t="s">
        <v>529</v>
      </c>
      <c r="C657" s="10" t="s">
        <v>530</v>
      </c>
      <c r="D657" s="10" t="s">
        <v>663</v>
      </c>
      <c r="E657" s="10" t="str">
        <f>"644020240518104956186701"</f>
        <v>644020240518104956186701</v>
      </c>
      <c r="F657" s="9"/>
    </row>
    <row r="658" s="2" customFormat="1" ht="30" customHeight="1" spans="1:6">
      <c r="A658" s="9">
        <v>655</v>
      </c>
      <c r="B658" s="10" t="s">
        <v>529</v>
      </c>
      <c r="C658" s="10" t="s">
        <v>530</v>
      </c>
      <c r="D658" s="10" t="s">
        <v>664</v>
      </c>
      <c r="E658" s="10" t="str">
        <f>"644020240514234925180551"</f>
        <v>644020240514234925180551</v>
      </c>
      <c r="F658" s="9"/>
    </row>
    <row r="659" s="2" customFormat="1" ht="30" customHeight="1" spans="1:6">
      <c r="A659" s="9">
        <v>656</v>
      </c>
      <c r="B659" s="10" t="s">
        <v>529</v>
      </c>
      <c r="C659" s="10" t="s">
        <v>530</v>
      </c>
      <c r="D659" s="10" t="s">
        <v>665</v>
      </c>
      <c r="E659" s="10" t="str">
        <f>"644020240518110946186726"</f>
        <v>644020240518110946186726</v>
      </c>
      <c r="F659" s="9"/>
    </row>
    <row r="660" s="2" customFormat="1" ht="30" customHeight="1" spans="1:6">
      <c r="A660" s="9">
        <v>657</v>
      </c>
      <c r="B660" s="10" t="s">
        <v>666</v>
      </c>
      <c r="C660" s="10" t="s">
        <v>667</v>
      </c>
      <c r="D660" s="10" t="s">
        <v>668</v>
      </c>
      <c r="E660" s="10" t="str">
        <f>"644020240512090148168098"</f>
        <v>644020240512090148168098</v>
      </c>
      <c r="F660" s="9"/>
    </row>
    <row r="661" s="2" customFormat="1" ht="30" customHeight="1" spans="1:6">
      <c r="A661" s="9">
        <v>658</v>
      </c>
      <c r="B661" s="10" t="s">
        <v>666</v>
      </c>
      <c r="C661" s="10" t="s">
        <v>667</v>
      </c>
      <c r="D661" s="10" t="s">
        <v>669</v>
      </c>
      <c r="E661" s="10" t="str">
        <f>"644020240512091848168192"</f>
        <v>644020240512091848168192</v>
      </c>
      <c r="F661" s="9"/>
    </row>
    <row r="662" s="2" customFormat="1" ht="30" customHeight="1" spans="1:6">
      <c r="A662" s="9">
        <v>659</v>
      </c>
      <c r="B662" s="10" t="s">
        <v>666</v>
      </c>
      <c r="C662" s="10" t="s">
        <v>667</v>
      </c>
      <c r="D662" s="10" t="s">
        <v>670</v>
      </c>
      <c r="E662" s="10" t="str">
        <f>"644020240512091159168156"</f>
        <v>644020240512091159168156</v>
      </c>
      <c r="F662" s="9"/>
    </row>
    <row r="663" s="2" customFormat="1" ht="30" customHeight="1" spans="1:6">
      <c r="A663" s="9">
        <v>660</v>
      </c>
      <c r="B663" s="10" t="s">
        <v>666</v>
      </c>
      <c r="C663" s="10" t="s">
        <v>667</v>
      </c>
      <c r="D663" s="10" t="s">
        <v>671</v>
      </c>
      <c r="E663" s="10" t="str">
        <f>"644020240512094815168315"</f>
        <v>644020240512094815168315</v>
      </c>
      <c r="F663" s="9"/>
    </row>
    <row r="664" s="2" customFormat="1" ht="30" customHeight="1" spans="1:6">
      <c r="A664" s="9">
        <v>661</v>
      </c>
      <c r="B664" s="10" t="s">
        <v>666</v>
      </c>
      <c r="C664" s="10" t="s">
        <v>667</v>
      </c>
      <c r="D664" s="10" t="s">
        <v>672</v>
      </c>
      <c r="E664" s="10" t="str">
        <f>"644020240512095833168376"</f>
        <v>644020240512095833168376</v>
      </c>
      <c r="F664" s="9"/>
    </row>
    <row r="665" s="2" customFormat="1" ht="30" customHeight="1" spans="1:6">
      <c r="A665" s="9">
        <v>662</v>
      </c>
      <c r="B665" s="10" t="s">
        <v>666</v>
      </c>
      <c r="C665" s="10" t="s">
        <v>667</v>
      </c>
      <c r="D665" s="10" t="s">
        <v>673</v>
      </c>
      <c r="E665" s="10" t="str">
        <f>"644020240512100938168439"</f>
        <v>644020240512100938168439</v>
      </c>
      <c r="F665" s="9"/>
    </row>
    <row r="666" s="2" customFormat="1" ht="30" customHeight="1" spans="1:6">
      <c r="A666" s="9">
        <v>663</v>
      </c>
      <c r="B666" s="10" t="s">
        <v>666</v>
      </c>
      <c r="C666" s="10" t="s">
        <v>667</v>
      </c>
      <c r="D666" s="10" t="s">
        <v>674</v>
      </c>
      <c r="E666" s="10" t="str">
        <f>"644020240512092939168244"</f>
        <v>644020240512092939168244</v>
      </c>
      <c r="F666" s="9"/>
    </row>
    <row r="667" s="2" customFormat="1" ht="30" customHeight="1" spans="1:6">
      <c r="A667" s="9">
        <v>664</v>
      </c>
      <c r="B667" s="10" t="s">
        <v>666</v>
      </c>
      <c r="C667" s="10" t="s">
        <v>667</v>
      </c>
      <c r="D667" s="10" t="s">
        <v>675</v>
      </c>
      <c r="E667" s="10" t="str">
        <f>"644020240512105639168702"</f>
        <v>644020240512105639168702</v>
      </c>
      <c r="F667" s="9"/>
    </row>
    <row r="668" s="2" customFormat="1" ht="30" customHeight="1" spans="1:6">
      <c r="A668" s="9">
        <v>665</v>
      </c>
      <c r="B668" s="10" t="s">
        <v>666</v>
      </c>
      <c r="C668" s="10" t="s">
        <v>667</v>
      </c>
      <c r="D668" s="10" t="s">
        <v>676</v>
      </c>
      <c r="E668" s="10" t="str">
        <f>"644020240512104921168669"</f>
        <v>644020240512104921168669</v>
      </c>
      <c r="F668" s="9"/>
    </row>
    <row r="669" s="2" customFormat="1" ht="30" customHeight="1" spans="1:6">
      <c r="A669" s="9">
        <v>666</v>
      </c>
      <c r="B669" s="10" t="s">
        <v>666</v>
      </c>
      <c r="C669" s="10" t="s">
        <v>667</v>
      </c>
      <c r="D669" s="10" t="s">
        <v>677</v>
      </c>
      <c r="E669" s="10" t="str">
        <f>"644020240512104837168664"</f>
        <v>644020240512104837168664</v>
      </c>
      <c r="F669" s="9"/>
    </row>
    <row r="670" s="2" customFormat="1" ht="30" customHeight="1" spans="1:6">
      <c r="A670" s="9">
        <v>667</v>
      </c>
      <c r="B670" s="10" t="s">
        <v>666</v>
      </c>
      <c r="C670" s="10" t="s">
        <v>667</v>
      </c>
      <c r="D670" s="10" t="s">
        <v>678</v>
      </c>
      <c r="E670" s="10" t="str">
        <f>"644020240512095214168335"</f>
        <v>644020240512095214168335</v>
      </c>
      <c r="F670" s="9"/>
    </row>
    <row r="671" s="2" customFormat="1" ht="30" customHeight="1" spans="1:6">
      <c r="A671" s="9">
        <v>668</v>
      </c>
      <c r="B671" s="10" t="s">
        <v>666</v>
      </c>
      <c r="C671" s="10" t="s">
        <v>667</v>
      </c>
      <c r="D671" s="10" t="s">
        <v>679</v>
      </c>
      <c r="E671" s="10" t="str">
        <f>"644020240512110845168765"</f>
        <v>644020240512110845168765</v>
      </c>
      <c r="F671" s="9"/>
    </row>
    <row r="672" s="2" customFormat="1" ht="30" customHeight="1" spans="1:6">
      <c r="A672" s="9">
        <v>669</v>
      </c>
      <c r="B672" s="10" t="s">
        <v>666</v>
      </c>
      <c r="C672" s="10" t="s">
        <v>667</v>
      </c>
      <c r="D672" s="10" t="s">
        <v>680</v>
      </c>
      <c r="E672" s="10" t="str">
        <f>"644020240512090516168112"</f>
        <v>644020240512090516168112</v>
      </c>
      <c r="F672" s="9"/>
    </row>
    <row r="673" s="2" customFormat="1" ht="30" customHeight="1" spans="1:6">
      <c r="A673" s="9">
        <v>670</v>
      </c>
      <c r="B673" s="10" t="s">
        <v>666</v>
      </c>
      <c r="C673" s="10" t="s">
        <v>667</v>
      </c>
      <c r="D673" s="10" t="s">
        <v>681</v>
      </c>
      <c r="E673" s="10" t="str">
        <f>"644020240512112941168878"</f>
        <v>644020240512112941168878</v>
      </c>
      <c r="F673" s="9"/>
    </row>
    <row r="674" s="2" customFormat="1" ht="30" customHeight="1" spans="1:6">
      <c r="A674" s="9">
        <v>671</v>
      </c>
      <c r="B674" s="10" t="s">
        <v>666</v>
      </c>
      <c r="C674" s="10" t="s">
        <v>667</v>
      </c>
      <c r="D674" s="10" t="s">
        <v>682</v>
      </c>
      <c r="E674" s="10" t="str">
        <f>"644020240512093248168254"</f>
        <v>644020240512093248168254</v>
      </c>
      <c r="F674" s="9"/>
    </row>
    <row r="675" s="2" customFormat="1" ht="30" customHeight="1" spans="1:6">
      <c r="A675" s="9">
        <v>672</v>
      </c>
      <c r="B675" s="10" t="s">
        <v>666</v>
      </c>
      <c r="C675" s="10" t="s">
        <v>667</v>
      </c>
      <c r="D675" s="10" t="s">
        <v>683</v>
      </c>
      <c r="E675" s="10" t="str">
        <f>"644020240512111714168814"</f>
        <v>644020240512111714168814</v>
      </c>
      <c r="F675" s="9"/>
    </row>
    <row r="676" s="2" customFormat="1" ht="30" customHeight="1" spans="1:6">
      <c r="A676" s="9">
        <v>673</v>
      </c>
      <c r="B676" s="10" t="s">
        <v>666</v>
      </c>
      <c r="C676" s="10" t="s">
        <v>667</v>
      </c>
      <c r="D676" s="10" t="s">
        <v>684</v>
      </c>
      <c r="E676" s="10" t="str">
        <f>"644020240512110256168740"</f>
        <v>644020240512110256168740</v>
      </c>
      <c r="F676" s="9"/>
    </row>
    <row r="677" s="2" customFormat="1" ht="30" customHeight="1" spans="1:6">
      <c r="A677" s="9">
        <v>674</v>
      </c>
      <c r="B677" s="10" t="s">
        <v>666</v>
      </c>
      <c r="C677" s="10" t="s">
        <v>667</v>
      </c>
      <c r="D677" s="10" t="s">
        <v>685</v>
      </c>
      <c r="E677" s="10" t="str">
        <f>"644020240512101251168462"</f>
        <v>644020240512101251168462</v>
      </c>
      <c r="F677" s="9"/>
    </row>
    <row r="678" s="2" customFormat="1" ht="30" customHeight="1" spans="1:6">
      <c r="A678" s="9">
        <v>675</v>
      </c>
      <c r="B678" s="10" t="s">
        <v>666</v>
      </c>
      <c r="C678" s="10" t="s">
        <v>667</v>
      </c>
      <c r="D678" s="10" t="s">
        <v>686</v>
      </c>
      <c r="E678" s="10" t="str">
        <f>"644020240512114921168972"</f>
        <v>644020240512114921168972</v>
      </c>
      <c r="F678" s="9"/>
    </row>
    <row r="679" s="2" customFormat="1" ht="30" customHeight="1" spans="1:6">
      <c r="A679" s="9">
        <v>676</v>
      </c>
      <c r="B679" s="10" t="s">
        <v>666</v>
      </c>
      <c r="C679" s="10" t="s">
        <v>667</v>
      </c>
      <c r="D679" s="10" t="s">
        <v>687</v>
      </c>
      <c r="E679" s="10" t="str">
        <f>"644020240512112558168863"</f>
        <v>644020240512112558168863</v>
      </c>
      <c r="F679" s="9"/>
    </row>
    <row r="680" s="2" customFormat="1" ht="30" customHeight="1" spans="1:6">
      <c r="A680" s="9">
        <v>677</v>
      </c>
      <c r="B680" s="10" t="s">
        <v>666</v>
      </c>
      <c r="C680" s="10" t="s">
        <v>667</v>
      </c>
      <c r="D680" s="10" t="s">
        <v>688</v>
      </c>
      <c r="E680" s="10" t="str">
        <f>"644020240512113630168922"</f>
        <v>644020240512113630168922</v>
      </c>
      <c r="F680" s="9"/>
    </row>
    <row r="681" s="2" customFormat="1" ht="30" customHeight="1" spans="1:6">
      <c r="A681" s="9">
        <v>678</v>
      </c>
      <c r="B681" s="10" t="s">
        <v>666</v>
      </c>
      <c r="C681" s="10" t="s">
        <v>667</v>
      </c>
      <c r="D681" s="10" t="s">
        <v>689</v>
      </c>
      <c r="E681" s="10" t="str">
        <f>"644020240512103823168610"</f>
        <v>644020240512103823168610</v>
      </c>
      <c r="F681" s="9"/>
    </row>
    <row r="682" s="2" customFormat="1" ht="30" customHeight="1" spans="1:6">
      <c r="A682" s="9">
        <v>679</v>
      </c>
      <c r="B682" s="10" t="s">
        <v>666</v>
      </c>
      <c r="C682" s="10" t="s">
        <v>667</v>
      </c>
      <c r="D682" s="10" t="s">
        <v>690</v>
      </c>
      <c r="E682" s="10" t="str">
        <f>"644020240512123921169164"</f>
        <v>644020240512123921169164</v>
      </c>
      <c r="F682" s="9"/>
    </row>
    <row r="683" s="2" customFormat="1" ht="30" customHeight="1" spans="1:6">
      <c r="A683" s="9">
        <v>680</v>
      </c>
      <c r="B683" s="10" t="s">
        <v>666</v>
      </c>
      <c r="C683" s="10" t="s">
        <v>667</v>
      </c>
      <c r="D683" s="10" t="s">
        <v>691</v>
      </c>
      <c r="E683" s="10" t="str">
        <f>"644020240512095012168321"</f>
        <v>644020240512095012168321</v>
      </c>
      <c r="F683" s="9"/>
    </row>
    <row r="684" s="2" customFormat="1" ht="30" customHeight="1" spans="1:6">
      <c r="A684" s="9">
        <v>681</v>
      </c>
      <c r="B684" s="10" t="s">
        <v>666</v>
      </c>
      <c r="C684" s="10" t="s">
        <v>667</v>
      </c>
      <c r="D684" s="10" t="s">
        <v>692</v>
      </c>
      <c r="E684" s="10" t="str">
        <f>"644020240512090842168131"</f>
        <v>644020240512090842168131</v>
      </c>
      <c r="F684" s="9"/>
    </row>
    <row r="685" s="2" customFormat="1" ht="30" customHeight="1" spans="1:6">
      <c r="A685" s="9">
        <v>682</v>
      </c>
      <c r="B685" s="10" t="s">
        <v>666</v>
      </c>
      <c r="C685" s="10" t="s">
        <v>667</v>
      </c>
      <c r="D685" s="10" t="s">
        <v>693</v>
      </c>
      <c r="E685" s="10" t="str">
        <f>"644020240512110930168769"</f>
        <v>644020240512110930168769</v>
      </c>
      <c r="F685" s="9"/>
    </row>
    <row r="686" s="2" customFormat="1" ht="30" customHeight="1" spans="1:6">
      <c r="A686" s="9">
        <v>683</v>
      </c>
      <c r="B686" s="10" t="s">
        <v>666</v>
      </c>
      <c r="C686" s="10" t="s">
        <v>667</v>
      </c>
      <c r="D686" s="10" t="s">
        <v>694</v>
      </c>
      <c r="E686" s="10" t="str">
        <f>"644020240512111245168784"</f>
        <v>644020240512111245168784</v>
      </c>
      <c r="F686" s="9"/>
    </row>
    <row r="687" s="2" customFormat="1" ht="30" customHeight="1" spans="1:6">
      <c r="A687" s="9">
        <v>684</v>
      </c>
      <c r="B687" s="10" t="s">
        <v>666</v>
      </c>
      <c r="C687" s="10" t="s">
        <v>667</v>
      </c>
      <c r="D687" s="10" t="s">
        <v>695</v>
      </c>
      <c r="E687" s="10" t="str">
        <f>"644020240512125748169227"</f>
        <v>644020240512125748169227</v>
      </c>
      <c r="F687" s="9"/>
    </row>
    <row r="688" s="2" customFormat="1" ht="30" customHeight="1" spans="1:6">
      <c r="A688" s="9">
        <v>685</v>
      </c>
      <c r="B688" s="10" t="s">
        <v>666</v>
      </c>
      <c r="C688" s="10" t="s">
        <v>667</v>
      </c>
      <c r="D688" s="10" t="s">
        <v>696</v>
      </c>
      <c r="E688" s="10" t="str">
        <f>"644020240512125548169224"</f>
        <v>644020240512125548169224</v>
      </c>
      <c r="F688" s="9"/>
    </row>
    <row r="689" s="2" customFormat="1" ht="30" customHeight="1" spans="1:6">
      <c r="A689" s="9">
        <v>686</v>
      </c>
      <c r="B689" s="10" t="s">
        <v>666</v>
      </c>
      <c r="C689" s="10" t="s">
        <v>667</v>
      </c>
      <c r="D689" s="10" t="s">
        <v>697</v>
      </c>
      <c r="E689" s="10" t="str">
        <f>"644020240512113620168918"</f>
        <v>644020240512113620168918</v>
      </c>
      <c r="F689" s="9"/>
    </row>
    <row r="690" s="2" customFormat="1" ht="30" customHeight="1" spans="1:6">
      <c r="A690" s="9">
        <v>687</v>
      </c>
      <c r="B690" s="10" t="s">
        <v>666</v>
      </c>
      <c r="C690" s="10" t="s">
        <v>667</v>
      </c>
      <c r="D690" s="10" t="s">
        <v>698</v>
      </c>
      <c r="E690" s="10" t="str">
        <f>"644020240512132624169346"</f>
        <v>644020240512132624169346</v>
      </c>
      <c r="F690" s="9"/>
    </row>
    <row r="691" s="2" customFormat="1" ht="30" customHeight="1" spans="1:6">
      <c r="A691" s="9">
        <v>688</v>
      </c>
      <c r="B691" s="10" t="s">
        <v>666</v>
      </c>
      <c r="C691" s="10" t="s">
        <v>667</v>
      </c>
      <c r="D691" s="10" t="s">
        <v>699</v>
      </c>
      <c r="E691" s="10" t="str">
        <f>"644020240512132454169339"</f>
        <v>644020240512132454169339</v>
      </c>
      <c r="F691" s="9"/>
    </row>
    <row r="692" s="2" customFormat="1" ht="30" customHeight="1" spans="1:6">
      <c r="A692" s="9">
        <v>689</v>
      </c>
      <c r="B692" s="10" t="s">
        <v>666</v>
      </c>
      <c r="C692" s="10" t="s">
        <v>667</v>
      </c>
      <c r="D692" s="10" t="s">
        <v>700</v>
      </c>
      <c r="E692" s="10" t="str">
        <f>"644020240512120310169021"</f>
        <v>644020240512120310169021</v>
      </c>
      <c r="F692" s="9"/>
    </row>
    <row r="693" s="2" customFormat="1" ht="30" customHeight="1" spans="1:6">
      <c r="A693" s="9">
        <v>690</v>
      </c>
      <c r="B693" s="10" t="s">
        <v>666</v>
      </c>
      <c r="C693" s="10" t="s">
        <v>667</v>
      </c>
      <c r="D693" s="10" t="s">
        <v>701</v>
      </c>
      <c r="E693" s="10" t="str">
        <f>"644020240512133506169379"</f>
        <v>644020240512133506169379</v>
      </c>
      <c r="F693" s="9"/>
    </row>
    <row r="694" s="2" customFormat="1" ht="30" customHeight="1" spans="1:6">
      <c r="A694" s="9">
        <v>691</v>
      </c>
      <c r="B694" s="10" t="s">
        <v>666</v>
      </c>
      <c r="C694" s="10" t="s">
        <v>667</v>
      </c>
      <c r="D694" s="10" t="s">
        <v>702</v>
      </c>
      <c r="E694" s="10" t="str">
        <f>"644020240512114148168943"</f>
        <v>644020240512114148168943</v>
      </c>
      <c r="F694" s="9"/>
    </row>
    <row r="695" s="2" customFormat="1" ht="30" customHeight="1" spans="1:6">
      <c r="A695" s="9">
        <v>692</v>
      </c>
      <c r="B695" s="10" t="s">
        <v>666</v>
      </c>
      <c r="C695" s="10" t="s">
        <v>667</v>
      </c>
      <c r="D695" s="10" t="s">
        <v>703</v>
      </c>
      <c r="E695" s="10" t="str">
        <f>"644020240512123435169136"</f>
        <v>644020240512123435169136</v>
      </c>
      <c r="F695" s="9"/>
    </row>
    <row r="696" s="2" customFormat="1" ht="30" customHeight="1" spans="1:6">
      <c r="A696" s="9">
        <v>693</v>
      </c>
      <c r="B696" s="10" t="s">
        <v>666</v>
      </c>
      <c r="C696" s="10" t="s">
        <v>667</v>
      </c>
      <c r="D696" s="10" t="s">
        <v>704</v>
      </c>
      <c r="E696" s="10" t="str">
        <f>"644020240512124839169203"</f>
        <v>644020240512124839169203</v>
      </c>
      <c r="F696" s="9"/>
    </row>
    <row r="697" s="2" customFormat="1" ht="30" customHeight="1" spans="1:6">
      <c r="A697" s="9">
        <v>694</v>
      </c>
      <c r="B697" s="10" t="s">
        <v>666</v>
      </c>
      <c r="C697" s="10" t="s">
        <v>667</v>
      </c>
      <c r="D697" s="10" t="s">
        <v>705</v>
      </c>
      <c r="E697" s="10" t="str">
        <f>"644020240512132910169356"</f>
        <v>644020240512132910169356</v>
      </c>
      <c r="F697" s="9"/>
    </row>
    <row r="698" s="2" customFormat="1" ht="30" customHeight="1" spans="1:6">
      <c r="A698" s="9">
        <v>695</v>
      </c>
      <c r="B698" s="10" t="s">
        <v>666</v>
      </c>
      <c r="C698" s="10" t="s">
        <v>667</v>
      </c>
      <c r="D698" s="10" t="s">
        <v>706</v>
      </c>
      <c r="E698" s="10" t="str">
        <f>"644020240512132233169332"</f>
        <v>644020240512132233169332</v>
      </c>
      <c r="F698" s="9"/>
    </row>
    <row r="699" s="2" customFormat="1" ht="30" customHeight="1" spans="1:6">
      <c r="A699" s="9">
        <v>696</v>
      </c>
      <c r="B699" s="10" t="s">
        <v>666</v>
      </c>
      <c r="C699" s="10" t="s">
        <v>667</v>
      </c>
      <c r="D699" s="10" t="s">
        <v>707</v>
      </c>
      <c r="E699" s="10" t="str">
        <f>"644020240512140845169483"</f>
        <v>644020240512140845169483</v>
      </c>
      <c r="F699" s="9"/>
    </row>
    <row r="700" s="2" customFormat="1" ht="30" customHeight="1" spans="1:6">
      <c r="A700" s="9">
        <v>697</v>
      </c>
      <c r="B700" s="10" t="s">
        <v>666</v>
      </c>
      <c r="C700" s="10" t="s">
        <v>667</v>
      </c>
      <c r="D700" s="10" t="s">
        <v>708</v>
      </c>
      <c r="E700" s="10" t="str">
        <f>"644020240512105935168719"</f>
        <v>644020240512105935168719</v>
      </c>
      <c r="F700" s="9"/>
    </row>
    <row r="701" s="2" customFormat="1" ht="30" customHeight="1" spans="1:6">
      <c r="A701" s="9">
        <v>698</v>
      </c>
      <c r="B701" s="10" t="s">
        <v>666</v>
      </c>
      <c r="C701" s="10" t="s">
        <v>667</v>
      </c>
      <c r="D701" s="10" t="s">
        <v>709</v>
      </c>
      <c r="E701" s="10" t="str">
        <f>"644020240512132327169336"</f>
        <v>644020240512132327169336</v>
      </c>
      <c r="F701" s="9"/>
    </row>
    <row r="702" s="2" customFormat="1" ht="30" customHeight="1" spans="1:6">
      <c r="A702" s="9">
        <v>699</v>
      </c>
      <c r="B702" s="10" t="s">
        <v>666</v>
      </c>
      <c r="C702" s="10" t="s">
        <v>667</v>
      </c>
      <c r="D702" s="10" t="s">
        <v>710</v>
      </c>
      <c r="E702" s="10" t="str">
        <f>"644020240512144937169612"</f>
        <v>644020240512144937169612</v>
      </c>
      <c r="F702" s="9"/>
    </row>
    <row r="703" s="2" customFormat="1" ht="30" customHeight="1" spans="1:6">
      <c r="A703" s="9">
        <v>700</v>
      </c>
      <c r="B703" s="10" t="s">
        <v>666</v>
      </c>
      <c r="C703" s="10" t="s">
        <v>667</v>
      </c>
      <c r="D703" s="10" t="s">
        <v>711</v>
      </c>
      <c r="E703" s="10" t="str">
        <f>"644020240512144933169610"</f>
        <v>644020240512144933169610</v>
      </c>
      <c r="F703" s="9"/>
    </row>
    <row r="704" s="2" customFormat="1" ht="30" customHeight="1" spans="1:6">
      <c r="A704" s="9">
        <v>701</v>
      </c>
      <c r="B704" s="10" t="s">
        <v>666</v>
      </c>
      <c r="C704" s="10" t="s">
        <v>667</v>
      </c>
      <c r="D704" s="10" t="s">
        <v>712</v>
      </c>
      <c r="E704" s="10" t="str">
        <f>"644020240512120815169046"</f>
        <v>644020240512120815169046</v>
      </c>
      <c r="F704" s="9"/>
    </row>
    <row r="705" s="2" customFormat="1" ht="30" customHeight="1" spans="1:6">
      <c r="A705" s="9">
        <v>702</v>
      </c>
      <c r="B705" s="10" t="s">
        <v>666</v>
      </c>
      <c r="C705" s="10" t="s">
        <v>667</v>
      </c>
      <c r="D705" s="10" t="s">
        <v>713</v>
      </c>
      <c r="E705" s="10" t="str">
        <f>"644020240512150515169667"</f>
        <v>644020240512150515169667</v>
      </c>
      <c r="F705" s="9"/>
    </row>
    <row r="706" s="2" customFormat="1" ht="30" customHeight="1" spans="1:6">
      <c r="A706" s="9">
        <v>703</v>
      </c>
      <c r="B706" s="10" t="s">
        <v>666</v>
      </c>
      <c r="C706" s="10" t="s">
        <v>667</v>
      </c>
      <c r="D706" s="10" t="s">
        <v>714</v>
      </c>
      <c r="E706" s="10" t="str">
        <f>"644020240512091131168151"</f>
        <v>644020240512091131168151</v>
      </c>
      <c r="F706" s="9"/>
    </row>
    <row r="707" s="2" customFormat="1" ht="30" customHeight="1" spans="1:6">
      <c r="A707" s="9">
        <v>704</v>
      </c>
      <c r="B707" s="10" t="s">
        <v>666</v>
      </c>
      <c r="C707" s="10" t="s">
        <v>667</v>
      </c>
      <c r="D707" s="10" t="s">
        <v>715</v>
      </c>
      <c r="E707" s="10" t="str">
        <f>"644020240512143404169556"</f>
        <v>644020240512143404169556</v>
      </c>
      <c r="F707" s="9"/>
    </row>
    <row r="708" s="2" customFormat="1" ht="30" customHeight="1" spans="1:6">
      <c r="A708" s="9">
        <v>705</v>
      </c>
      <c r="B708" s="10" t="s">
        <v>666</v>
      </c>
      <c r="C708" s="10" t="s">
        <v>667</v>
      </c>
      <c r="D708" s="10" t="s">
        <v>716</v>
      </c>
      <c r="E708" s="10" t="str">
        <f>"644020240512151438169704"</f>
        <v>644020240512151438169704</v>
      </c>
      <c r="F708" s="9"/>
    </row>
    <row r="709" s="2" customFormat="1" ht="30" customHeight="1" spans="1:6">
      <c r="A709" s="9">
        <v>706</v>
      </c>
      <c r="B709" s="10" t="s">
        <v>666</v>
      </c>
      <c r="C709" s="10" t="s">
        <v>667</v>
      </c>
      <c r="D709" s="10" t="s">
        <v>717</v>
      </c>
      <c r="E709" s="10" t="str">
        <f>"644020240512154928169836"</f>
        <v>644020240512154928169836</v>
      </c>
      <c r="F709" s="9"/>
    </row>
    <row r="710" s="2" customFormat="1" ht="30" customHeight="1" spans="1:6">
      <c r="A710" s="9">
        <v>707</v>
      </c>
      <c r="B710" s="10" t="s">
        <v>666</v>
      </c>
      <c r="C710" s="10" t="s">
        <v>667</v>
      </c>
      <c r="D710" s="10" t="s">
        <v>718</v>
      </c>
      <c r="E710" s="10" t="str">
        <f>"644020240512163217170012"</f>
        <v>644020240512163217170012</v>
      </c>
      <c r="F710" s="9"/>
    </row>
    <row r="711" s="2" customFormat="1" ht="30" customHeight="1" spans="1:6">
      <c r="A711" s="9">
        <v>708</v>
      </c>
      <c r="B711" s="10" t="s">
        <v>666</v>
      </c>
      <c r="C711" s="10" t="s">
        <v>667</v>
      </c>
      <c r="D711" s="10" t="s">
        <v>719</v>
      </c>
      <c r="E711" s="10" t="str">
        <f>"644020240512170454170126"</f>
        <v>644020240512170454170126</v>
      </c>
      <c r="F711" s="9"/>
    </row>
    <row r="712" s="2" customFormat="1" ht="30" customHeight="1" spans="1:6">
      <c r="A712" s="9">
        <v>709</v>
      </c>
      <c r="B712" s="10" t="s">
        <v>666</v>
      </c>
      <c r="C712" s="10" t="s">
        <v>667</v>
      </c>
      <c r="D712" s="10" t="s">
        <v>720</v>
      </c>
      <c r="E712" s="10" t="str">
        <f>"644020240512172522170193"</f>
        <v>644020240512172522170193</v>
      </c>
      <c r="F712" s="9"/>
    </row>
    <row r="713" s="2" customFormat="1" ht="30" customHeight="1" spans="1:6">
      <c r="A713" s="9">
        <v>710</v>
      </c>
      <c r="B713" s="10" t="s">
        <v>666</v>
      </c>
      <c r="C713" s="10" t="s">
        <v>667</v>
      </c>
      <c r="D713" s="10" t="s">
        <v>721</v>
      </c>
      <c r="E713" s="10" t="str">
        <f>"644020240512171132170142"</f>
        <v>644020240512171132170142</v>
      </c>
      <c r="F713" s="9"/>
    </row>
    <row r="714" s="2" customFormat="1" ht="30" customHeight="1" spans="1:6">
      <c r="A714" s="9">
        <v>711</v>
      </c>
      <c r="B714" s="10" t="s">
        <v>666</v>
      </c>
      <c r="C714" s="10" t="s">
        <v>667</v>
      </c>
      <c r="D714" s="10" t="s">
        <v>722</v>
      </c>
      <c r="E714" s="10" t="str">
        <f>"644020240512160838169911"</f>
        <v>644020240512160838169911</v>
      </c>
      <c r="F714" s="9"/>
    </row>
    <row r="715" s="2" customFormat="1" ht="30" customHeight="1" spans="1:6">
      <c r="A715" s="9">
        <v>712</v>
      </c>
      <c r="B715" s="10" t="s">
        <v>666</v>
      </c>
      <c r="C715" s="10" t="s">
        <v>667</v>
      </c>
      <c r="D715" s="10" t="s">
        <v>723</v>
      </c>
      <c r="E715" s="10" t="str">
        <f>"644020240512142122169528"</f>
        <v>644020240512142122169528</v>
      </c>
      <c r="F715" s="9"/>
    </row>
    <row r="716" s="2" customFormat="1" ht="30" customHeight="1" spans="1:6">
      <c r="A716" s="9">
        <v>713</v>
      </c>
      <c r="B716" s="10" t="s">
        <v>666</v>
      </c>
      <c r="C716" s="10" t="s">
        <v>667</v>
      </c>
      <c r="D716" s="10" t="s">
        <v>724</v>
      </c>
      <c r="E716" s="10" t="str">
        <f>"644020240512182512170380"</f>
        <v>644020240512182512170380</v>
      </c>
      <c r="F716" s="9"/>
    </row>
    <row r="717" s="2" customFormat="1" ht="30" customHeight="1" spans="1:6">
      <c r="A717" s="9">
        <v>714</v>
      </c>
      <c r="B717" s="10" t="s">
        <v>666</v>
      </c>
      <c r="C717" s="10" t="s">
        <v>667</v>
      </c>
      <c r="D717" s="10" t="s">
        <v>725</v>
      </c>
      <c r="E717" s="10" t="str">
        <f>"644020240512183433170413"</f>
        <v>644020240512183433170413</v>
      </c>
      <c r="F717" s="9"/>
    </row>
    <row r="718" s="2" customFormat="1" ht="30" customHeight="1" spans="1:6">
      <c r="A718" s="9">
        <v>715</v>
      </c>
      <c r="B718" s="10" t="s">
        <v>666</v>
      </c>
      <c r="C718" s="10" t="s">
        <v>667</v>
      </c>
      <c r="D718" s="10" t="s">
        <v>726</v>
      </c>
      <c r="E718" s="10" t="str">
        <f>"644020240512183214170402"</f>
        <v>644020240512183214170402</v>
      </c>
      <c r="F718" s="9"/>
    </row>
    <row r="719" s="2" customFormat="1" ht="30" customHeight="1" spans="1:6">
      <c r="A719" s="9">
        <v>716</v>
      </c>
      <c r="B719" s="10" t="s">
        <v>666</v>
      </c>
      <c r="C719" s="10" t="s">
        <v>667</v>
      </c>
      <c r="D719" s="10" t="s">
        <v>727</v>
      </c>
      <c r="E719" s="10" t="str">
        <f>"644020240512110719168759"</f>
        <v>644020240512110719168759</v>
      </c>
      <c r="F719" s="9"/>
    </row>
    <row r="720" s="2" customFormat="1" ht="30" customHeight="1" spans="1:6">
      <c r="A720" s="9">
        <v>717</v>
      </c>
      <c r="B720" s="10" t="s">
        <v>666</v>
      </c>
      <c r="C720" s="10" t="s">
        <v>667</v>
      </c>
      <c r="D720" s="10" t="s">
        <v>728</v>
      </c>
      <c r="E720" s="10" t="str">
        <f>"644020240512182628170387"</f>
        <v>644020240512182628170387</v>
      </c>
      <c r="F720" s="9"/>
    </row>
    <row r="721" s="2" customFormat="1" ht="30" customHeight="1" spans="1:6">
      <c r="A721" s="9">
        <v>718</v>
      </c>
      <c r="B721" s="10" t="s">
        <v>666</v>
      </c>
      <c r="C721" s="10" t="s">
        <v>667</v>
      </c>
      <c r="D721" s="10" t="s">
        <v>729</v>
      </c>
      <c r="E721" s="10" t="str">
        <f>"644020240512191925170562"</f>
        <v>644020240512191925170562</v>
      </c>
      <c r="F721" s="9"/>
    </row>
    <row r="722" s="2" customFormat="1" ht="30" customHeight="1" spans="1:6">
      <c r="A722" s="9">
        <v>719</v>
      </c>
      <c r="B722" s="10" t="s">
        <v>666</v>
      </c>
      <c r="C722" s="10" t="s">
        <v>667</v>
      </c>
      <c r="D722" s="10" t="s">
        <v>730</v>
      </c>
      <c r="E722" s="10" t="str">
        <f>"644020240512193008170606"</f>
        <v>644020240512193008170606</v>
      </c>
      <c r="F722" s="9"/>
    </row>
    <row r="723" s="2" customFormat="1" ht="30" customHeight="1" spans="1:6">
      <c r="A723" s="9">
        <v>720</v>
      </c>
      <c r="B723" s="10" t="s">
        <v>666</v>
      </c>
      <c r="C723" s="10" t="s">
        <v>667</v>
      </c>
      <c r="D723" s="10" t="s">
        <v>731</v>
      </c>
      <c r="E723" s="10" t="str">
        <f>"644020240512135305169442"</f>
        <v>644020240512135305169442</v>
      </c>
      <c r="F723" s="9"/>
    </row>
    <row r="724" s="2" customFormat="1" ht="30" customHeight="1" spans="1:6">
      <c r="A724" s="9">
        <v>721</v>
      </c>
      <c r="B724" s="10" t="s">
        <v>666</v>
      </c>
      <c r="C724" s="10" t="s">
        <v>667</v>
      </c>
      <c r="D724" s="10" t="s">
        <v>732</v>
      </c>
      <c r="E724" s="10" t="str">
        <f>"644020240512204902170930"</f>
        <v>644020240512204902170930</v>
      </c>
      <c r="F724" s="9"/>
    </row>
    <row r="725" s="2" customFormat="1" ht="30" customHeight="1" spans="1:6">
      <c r="A725" s="9">
        <v>722</v>
      </c>
      <c r="B725" s="10" t="s">
        <v>666</v>
      </c>
      <c r="C725" s="10" t="s">
        <v>667</v>
      </c>
      <c r="D725" s="10" t="s">
        <v>733</v>
      </c>
      <c r="E725" s="10" t="str">
        <f>"644020240512122628169105"</f>
        <v>644020240512122628169105</v>
      </c>
      <c r="F725" s="9"/>
    </row>
    <row r="726" s="2" customFormat="1" ht="30" customHeight="1" spans="1:6">
      <c r="A726" s="9">
        <v>723</v>
      </c>
      <c r="B726" s="10" t="s">
        <v>666</v>
      </c>
      <c r="C726" s="10" t="s">
        <v>667</v>
      </c>
      <c r="D726" s="10" t="s">
        <v>734</v>
      </c>
      <c r="E726" s="10" t="str">
        <f>"644020240512153113169766"</f>
        <v>644020240512153113169766</v>
      </c>
      <c r="F726" s="9"/>
    </row>
    <row r="727" s="2" customFormat="1" ht="30" customHeight="1" spans="1:6">
      <c r="A727" s="9">
        <v>724</v>
      </c>
      <c r="B727" s="10" t="s">
        <v>666</v>
      </c>
      <c r="C727" s="10" t="s">
        <v>667</v>
      </c>
      <c r="D727" s="10" t="s">
        <v>735</v>
      </c>
      <c r="E727" s="10" t="str">
        <f>"644020240512102039168507"</f>
        <v>644020240512102039168507</v>
      </c>
      <c r="F727" s="9"/>
    </row>
    <row r="728" s="2" customFormat="1" ht="30" customHeight="1" spans="1:6">
      <c r="A728" s="9">
        <v>725</v>
      </c>
      <c r="B728" s="10" t="s">
        <v>666</v>
      </c>
      <c r="C728" s="10" t="s">
        <v>667</v>
      </c>
      <c r="D728" s="10" t="s">
        <v>736</v>
      </c>
      <c r="E728" s="10" t="str">
        <f>"644020240512200154170716"</f>
        <v>644020240512200154170716</v>
      </c>
      <c r="F728" s="9"/>
    </row>
    <row r="729" s="2" customFormat="1" ht="30" customHeight="1" spans="1:6">
      <c r="A729" s="9">
        <v>726</v>
      </c>
      <c r="B729" s="10" t="s">
        <v>666</v>
      </c>
      <c r="C729" s="10" t="s">
        <v>667</v>
      </c>
      <c r="D729" s="10" t="s">
        <v>737</v>
      </c>
      <c r="E729" s="10" t="str">
        <f>"644020240512200958170749"</f>
        <v>644020240512200958170749</v>
      </c>
      <c r="F729" s="9"/>
    </row>
    <row r="730" s="2" customFormat="1" ht="30" customHeight="1" spans="1:6">
      <c r="A730" s="9">
        <v>727</v>
      </c>
      <c r="B730" s="10" t="s">
        <v>666</v>
      </c>
      <c r="C730" s="10" t="s">
        <v>667</v>
      </c>
      <c r="D730" s="10" t="s">
        <v>738</v>
      </c>
      <c r="E730" s="10" t="str">
        <f>"644020240512214404171228"</f>
        <v>644020240512214404171228</v>
      </c>
      <c r="F730" s="9"/>
    </row>
    <row r="731" s="2" customFormat="1" ht="30" customHeight="1" spans="1:6">
      <c r="A731" s="9">
        <v>728</v>
      </c>
      <c r="B731" s="10" t="s">
        <v>666</v>
      </c>
      <c r="C731" s="10" t="s">
        <v>667</v>
      </c>
      <c r="D731" s="10" t="s">
        <v>739</v>
      </c>
      <c r="E731" s="10" t="str">
        <f>"644020240512101726168482"</f>
        <v>644020240512101726168482</v>
      </c>
      <c r="F731" s="9"/>
    </row>
    <row r="732" s="2" customFormat="1" ht="30" customHeight="1" spans="1:6">
      <c r="A732" s="9">
        <v>729</v>
      </c>
      <c r="B732" s="10" t="s">
        <v>666</v>
      </c>
      <c r="C732" s="10" t="s">
        <v>667</v>
      </c>
      <c r="D732" s="10" t="s">
        <v>740</v>
      </c>
      <c r="E732" s="10" t="str">
        <f>"644020240512222058171439"</f>
        <v>644020240512222058171439</v>
      </c>
      <c r="F732" s="9"/>
    </row>
    <row r="733" s="2" customFormat="1" ht="30" customHeight="1" spans="1:6">
      <c r="A733" s="9">
        <v>730</v>
      </c>
      <c r="B733" s="10" t="s">
        <v>666</v>
      </c>
      <c r="C733" s="10" t="s">
        <v>667</v>
      </c>
      <c r="D733" s="10" t="s">
        <v>741</v>
      </c>
      <c r="E733" s="10" t="str">
        <f>"644020240512214416171229"</f>
        <v>644020240512214416171229</v>
      </c>
      <c r="F733" s="9"/>
    </row>
    <row r="734" s="2" customFormat="1" ht="30" customHeight="1" spans="1:6">
      <c r="A734" s="9">
        <v>731</v>
      </c>
      <c r="B734" s="10" t="s">
        <v>666</v>
      </c>
      <c r="C734" s="10" t="s">
        <v>667</v>
      </c>
      <c r="D734" s="10" t="s">
        <v>742</v>
      </c>
      <c r="E734" s="10" t="str">
        <f>"644020240512121740169078"</f>
        <v>644020240512121740169078</v>
      </c>
      <c r="F734" s="9"/>
    </row>
    <row r="735" s="2" customFormat="1" ht="30" customHeight="1" spans="1:6">
      <c r="A735" s="9">
        <v>732</v>
      </c>
      <c r="B735" s="10" t="s">
        <v>666</v>
      </c>
      <c r="C735" s="10" t="s">
        <v>667</v>
      </c>
      <c r="D735" s="10" t="s">
        <v>743</v>
      </c>
      <c r="E735" s="10" t="str">
        <f>"644020240512092812168230"</f>
        <v>644020240512092812168230</v>
      </c>
      <c r="F735" s="9"/>
    </row>
    <row r="736" s="2" customFormat="1" ht="30" customHeight="1" spans="1:6">
      <c r="A736" s="9">
        <v>733</v>
      </c>
      <c r="B736" s="10" t="s">
        <v>666</v>
      </c>
      <c r="C736" s="10" t="s">
        <v>667</v>
      </c>
      <c r="D736" s="10" t="s">
        <v>744</v>
      </c>
      <c r="E736" s="10" t="str">
        <f>"644020240512230206171686"</f>
        <v>644020240512230206171686</v>
      </c>
      <c r="F736" s="9"/>
    </row>
    <row r="737" s="2" customFormat="1" ht="30" customHeight="1" spans="1:6">
      <c r="A737" s="9">
        <v>734</v>
      </c>
      <c r="B737" s="10" t="s">
        <v>666</v>
      </c>
      <c r="C737" s="10" t="s">
        <v>667</v>
      </c>
      <c r="D737" s="10" t="s">
        <v>745</v>
      </c>
      <c r="E737" s="10" t="str">
        <f>"644020240512224440171578"</f>
        <v>644020240512224440171578</v>
      </c>
      <c r="F737" s="9"/>
    </row>
    <row r="738" s="2" customFormat="1" ht="30" customHeight="1" spans="1:6">
      <c r="A738" s="9">
        <v>735</v>
      </c>
      <c r="B738" s="10" t="s">
        <v>666</v>
      </c>
      <c r="C738" s="10" t="s">
        <v>667</v>
      </c>
      <c r="D738" s="10" t="s">
        <v>746</v>
      </c>
      <c r="E738" s="10" t="str">
        <f>"644020240512231102171735"</f>
        <v>644020240512231102171735</v>
      </c>
      <c r="F738" s="9"/>
    </row>
    <row r="739" s="2" customFormat="1" ht="30" customHeight="1" spans="1:6">
      <c r="A739" s="9">
        <v>736</v>
      </c>
      <c r="B739" s="10" t="s">
        <v>666</v>
      </c>
      <c r="C739" s="10" t="s">
        <v>667</v>
      </c>
      <c r="D739" s="10" t="s">
        <v>747</v>
      </c>
      <c r="E739" s="10" t="str">
        <f>"644020240512224934171608"</f>
        <v>644020240512224934171608</v>
      </c>
      <c r="F739" s="9"/>
    </row>
    <row r="740" s="2" customFormat="1" ht="30" customHeight="1" spans="1:6">
      <c r="A740" s="9">
        <v>737</v>
      </c>
      <c r="B740" s="10" t="s">
        <v>666</v>
      </c>
      <c r="C740" s="10" t="s">
        <v>667</v>
      </c>
      <c r="D740" s="10" t="s">
        <v>748</v>
      </c>
      <c r="E740" s="10" t="str">
        <f>"644020240512223112171504"</f>
        <v>644020240512223112171504</v>
      </c>
      <c r="F740" s="9"/>
    </row>
    <row r="741" s="2" customFormat="1" ht="30" customHeight="1" spans="1:6">
      <c r="A741" s="9">
        <v>738</v>
      </c>
      <c r="B741" s="10" t="s">
        <v>666</v>
      </c>
      <c r="C741" s="10" t="s">
        <v>667</v>
      </c>
      <c r="D741" s="10" t="s">
        <v>749</v>
      </c>
      <c r="E741" s="10" t="str">
        <f>"644020240512223115171505"</f>
        <v>644020240512223115171505</v>
      </c>
      <c r="F741" s="9"/>
    </row>
    <row r="742" s="2" customFormat="1" ht="30" customHeight="1" spans="1:6">
      <c r="A742" s="9">
        <v>739</v>
      </c>
      <c r="B742" s="10" t="s">
        <v>666</v>
      </c>
      <c r="C742" s="10" t="s">
        <v>667</v>
      </c>
      <c r="D742" s="10" t="s">
        <v>750</v>
      </c>
      <c r="E742" s="10" t="str">
        <f>"644020240512181149170341"</f>
        <v>644020240512181149170341</v>
      </c>
      <c r="F742" s="9"/>
    </row>
    <row r="743" s="2" customFormat="1" ht="30" customHeight="1" spans="1:6">
      <c r="A743" s="9">
        <v>740</v>
      </c>
      <c r="B743" s="10" t="s">
        <v>666</v>
      </c>
      <c r="C743" s="10" t="s">
        <v>667</v>
      </c>
      <c r="D743" s="10" t="s">
        <v>751</v>
      </c>
      <c r="E743" s="10" t="str">
        <f>"644020240512232025171782"</f>
        <v>644020240512232025171782</v>
      </c>
      <c r="F743" s="9"/>
    </row>
    <row r="744" s="2" customFormat="1" ht="30" customHeight="1" spans="1:6">
      <c r="A744" s="9">
        <v>741</v>
      </c>
      <c r="B744" s="10" t="s">
        <v>666</v>
      </c>
      <c r="C744" s="10" t="s">
        <v>667</v>
      </c>
      <c r="D744" s="10" t="s">
        <v>752</v>
      </c>
      <c r="E744" s="10" t="str">
        <f>"644020240512233859171856"</f>
        <v>644020240512233859171856</v>
      </c>
      <c r="F744" s="9"/>
    </row>
    <row r="745" s="2" customFormat="1" ht="30" customHeight="1" spans="1:6">
      <c r="A745" s="9">
        <v>742</v>
      </c>
      <c r="B745" s="10" t="s">
        <v>666</v>
      </c>
      <c r="C745" s="10" t="s">
        <v>667</v>
      </c>
      <c r="D745" s="10" t="s">
        <v>753</v>
      </c>
      <c r="E745" s="10" t="str">
        <f>"644020240513010646172029"</f>
        <v>644020240513010646172029</v>
      </c>
      <c r="F745" s="9"/>
    </row>
    <row r="746" s="2" customFormat="1" ht="30" customHeight="1" spans="1:6">
      <c r="A746" s="9">
        <v>743</v>
      </c>
      <c r="B746" s="10" t="s">
        <v>666</v>
      </c>
      <c r="C746" s="10" t="s">
        <v>667</v>
      </c>
      <c r="D746" s="10" t="s">
        <v>754</v>
      </c>
      <c r="E746" s="10" t="str">
        <f>"644020240513081001172216"</f>
        <v>644020240513081001172216</v>
      </c>
      <c r="F746" s="9"/>
    </row>
    <row r="747" s="2" customFormat="1" ht="30" customHeight="1" spans="1:6">
      <c r="A747" s="9">
        <v>744</v>
      </c>
      <c r="B747" s="10" t="s">
        <v>666</v>
      </c>
      <c r="C747" s="10" t="s">
        <v>667</v>
      </c>
      <c r="D747" s="10" t="s">
        <v>755</v>
      </c>
      <c r="E747" s="10" t="str">
        <f>"644020240513081546172231"</f>
        <v>644020240513081546172231</v>
      </c>
      <c r="F747" s="9"/>
    </row>
    <row r="748" s="2" customFormat="1" ht="30" customHeight="1" spans="1:6">
      <c r="A748" s="9">
        <v>745</v>
      </c>
      <c r="B748" s="10" t="s">
        <v>666</v>
      </c>
      <c r="C748" s="10" t="s">
        <v>667</v>
      </c>
      <c r="D748" s="10" t="s">
        <v>756</v>
      </c>
      <c r="E748" s="10" t="str">
        <f>"644020240513083838172343"</f>
        <v>644020240513083838172343</v>
      </c>
      <c r="F748" s="9"/>
    </row>
    <row r="749" s="2" customFormat="1" ht="30" customHeight="1" spans="1:6">
      <c r="A749" s="9">
        <v>746</v>
      </c>
      <c r="B749" s="10" t="s">
        <v>666</v>
      </c>
      <c r="C749" s="10" t="s">
        <v>667</v>
      </c>
      <c r="D749" s="10" t="s">
        <v>757</v>
      </c>
      <c r="E749" s="10" t="str">
        <f>"644020240512230310171693"</f>
        <v>644020240512230310171693</v>
      </c>
      <c r="F749" s="9"/>
    </row>
    <row r="750" s="2" customFormat="1" ht="30" customHeight="1" spans="1:6">
      <c r="A750" s="9">
        <v>747</v>
      </c>
      <c r="B750" s="10" t="s">
        <v>666</v>
      </c>
      <c r="C750" s="10" t="s">
        <v>667</v>
      </c>
      <c r="D750" s="10" t="s">
        <v>758</v>
      </c>
      <c r="E750" s="10" t="str">
        <f>"644020240513090023172485"</f>
        <v>644020240513090023172485</v>
      </c>
      <c r="F750" s="9"/>
    </row>
    <row r="751" s="2" customFormat="1" ht="30" customHeight="1" spans="1:6">
      <c r="A751" s="9">
        <v>748</v>
      </c>
      <c r="B751" s="10" t="s">
        <v>666</v>
      </c>
      <c r="C751" s="10" t="s">
        <v>667</v>
      </c>
      <c r="D751" s="10" t="s">
        <v>655</v>
      </c>
      <c r="E751" s="10" t="str">
        <f>"644020240513085705172454"</f>
        <v>644020240513085705172454</v>
      </c>
      <c r="F751" s="9"/>
    </row>
    <row r="752" s="2" customFormat="1" ht="30" customHeight="1" spans="1:6">
      <c r="A752" s="9">
        <v>749</v>
      </c>
      <c r="B752" s="10" t="s">
        <v>666</v>
      </c>
      <c r="C752" s="10" t="s">
        <v>667</v>
      </c>
      <c r="D752" s="10" t="s">
        <v>759</v>
      </c>
      <c r="E752" s="10" t="str">
        <f>"644020240513082235172264"</f>
        <v>644020240513082235172264</v>
      </c>
      <c r="F752" s="9"/>
    </row>
    <row r="753" s="2" customFormat="1" ht="30" customHeight="1" spans="1:6">
      <c r="A753" s="9">
        <v>750</v>
      </c>
      <c r="B753" s="10" t="s">
        <v>666</v>
      </c>
      <c r="C753" s="10" t="s">
        <v>667</v>
      </c>
      <c r="D753" s="10" t="s">
        <v>760</v>
      </c>
      <c r="E753" s="10" t="str">
        <f>"644020240512201404170768"</f>
        <v>644020240512201404170768</v>
      </c>
      <c r="F753" s="9"/>
    </row>
    <row r="754" s="2" customFormat="1" ht="30" customHeight="1" spans="1:6">
      <c r="A754" s="9">
        <v>751</v>
      </c>
      <c r="B754" s="10" t="s">
        <v>666</v>
      </c>
      <c r="C754" s="10" t="s">
        <v>667</v>
      </c>
      <c r="D754" s="10" t="s">
        <v>761</v>
      </c>
      <c r="E754" s="10" t="str">
        <f>"644020240513091046172602"</f>
        <v>644020240513091046172602</v>
      </c>
      <c r="F754" s="9"/>
    </row>
    <row r="755" s="2" customFormat="1" ht="30" customHeight="1" spans="1:6">
      <c r="A755" s="9">
        <v>752</v>
      </c>
      <c r="B755" s="10" t="s">
        <v>666</v>
      </c>
      <c r="C755" s="10" t="s">
        <v>667</v>
      </c>
      <c r="D755" s="10" t="s">
        <v>762</v>
      </c>
      <c r="E755" s="10" t="str">
        <f>"644020240513081949172247"</f>
        <v>644020240513081949172247</v>
      </c>
      <c r="F755" s="9"/>
    </row>
    <row r="756" s="2" customFormat="1" ht="30" customHeight="1" spans="1:6">
      <c r="A756" s="9">
        <v>753</v>
      </c>
      <c r="B756" s="10" t="s">
        <v>666</v>
      </c>
      <c r="C756" s="10" t="s">
        <v>667</v>
      </c>
      <c r="D756" s="10" t="s">
        <v>763</v>
      </c>
      <c r="E756" s="10" t="str">
        <f>"644020240512154549169822"</f>
        <v>644020240512154549169822</v>
      </c>
      <c r="F756" s="9"/>
    </row>
    <row r="757" s="2" customFormat="1" ht="30" customHeight="1" spans="1:6">
      <c r="A757" s="9">
        <v>754</v>
      </c>
      <c r="B757" s="10" t="s">
        <v>666</v>
      </c>
      <c r="C757" s="10" t="s">
        <v>667</v>
      </c>
      <c r="D757" s="10" t="s">
        <v>764</v>
      </c>
      <c r="E757" s="10" t="str">
        <f>"644020240513095421173070"</f>
        <v>644020240513095421173070</v>
      </c>
      <c r="F757" s="9"/>
    </row>
    <row r="758" s="2" customFormat="1" ht="30" customHeight="1" spans="1:6">
      <c r="A758" s="9">
        <v>755</v>
      </c>
      <c r="B758" s="10" t="s">
        <v>666</v>
      </c>
      <c r="C758" s="10" t="s">
        <v>667</v>
      </c>
      <c r="D758" s="10" t="s">
        <v>765</v>
      </c>
      <c r="E758" s="10" t="str">
        <f>"644020240513093144172819"</f>
        <v>644020240513093144172819</v>
      </c>
      <c r="F758" s="9"/>
    </row>
    <row r="759" s="2" customFormat="1" ht="30" customHeight="1" spans="1:6">
      <c r="A759" s="9">
        <v>756</v>
      </c>
      <c r="B759" s="10" t="s">
        <v>666</v>
      </c>
      <c r="C759" s="10" t="s">
        <v>667</v>
      </c>
      <c r="D759" s="10" t="s">
        <v>766</v>
      </c>
      <c r="E759" s="10" t="str">
        <f>"644020240512101140168456"</f>
        <v>644020240512101140168456</v>
      </c>
      <c r="F759" s="9"/>
    </row>
    <row r="760" s="2" customFormat="1" ht="30" customHeight="1" spans="1:6">
      <c r="A760" s="9">
        <v>757</v>
      </c>
      <c r="B760" s="10" t="s">
        <v>666</v>
      </c>
      <c r="C760" s="10" t="s">
        <v>667</v>
      </c>
      <c r="D760" s="10" t="s">
        <v>767</v>
      </c>
      <c r="E760" s="10" t="str">
        <f>"644020240513093940172905"</f>
        <v>644020240513093940172905</v>
      </c>
      <c r="F760" s="9"/>
    </row>
    <row r="761" s="2" customFormat="1" ht="30" customHeight="1" spans="1:6">
      <c r="A761" s="9">
        <v>758</v>
      </c>
      <c r="B761" s="10" t="s">
        <v>666</v>
      </c>
      <c r="C761" s="10" t="s">
        <v>667</v>
      </c>
      <c r="D761" s="10" t="s">
        <v>768</v>
      </c>
      <c r="E761" s="10" t="str">
        <f>"644020240513093619172872"</f>
        <v>644020240513093619172872</v>
      </c>
      <c r="F761" s="9"/>
    </row>
    <row r="762" s="2" customFormat="1" ht="30" customHeight="1" spans="1:6">
      <c r="A762" s="9">
        <v>759</v>
      </c>
      <c r="B762" s="10" t="s">
        <v>666</v>
      </c>
      <c r="C762" s="10" t="s">
        <v>667</v>
      </c>
      <c r="D762" s="10" t="s">
        <v>769</v>
      </c>
      <c r="E762" s="10" t="str">
        <f>"644020240513101206173230"</f>
        <v>644020240513101206173230</v>
      </c>
      <c r="F762" s="9"/>
    </row>
    <row r="763" s="2" customFormat="1" ht="30" customHeight="1" spans="1:6">
      <c r="A763" s="9">
        <v>760</v>
      </c>
      <c r="B763" s="10" t="s">
        <v>666</v>
      </c>
      <c r="C763" s="10" t="s">
        <v>667</v>
      </c>
      <c r="D763" s="10" t="s">
        <v>770</v>
      </c>
      <c r="E763" s="10" t="str">
        <f>"644020240513100418173151"</f>
        <v>644020240513100418173151</v>
      </c>
      <c r="F763" s="9"/>
    </row>
    <row r="764" s="2" customFormat="1" ht="30" customHeight="1" spans="1:6">
      <c r="A764" s="9">
        <v>761</v>
      </c>
      <c r="B764" s="10" t="s">
        <v>666</v>
      </c>
      <c r="C764" s="10" t="s">
        <v>667</v>
      </c>
      <c r="D764" s="10" t="s">
        <v>771</v>
      </c>
      <c r="E764" s="10" t="str">
        <f>"644020240513002629171985"</f>
        <v>644020240513002629171985</v>
      </c>
      <c r="F764" s="9"/>
    </row>
    <row r="765" s="2" customFormat="1" ht="30" customHeight="1" spans="1:6">
      <c r="A765" s="9">
        <v>762</v>
      </c>
      <c r="B765" s="10" t="s">
        <v>666</v>
      </c>
      <c r="C765" s="10" t="s">
        <v>667</v>
      </c>
      <c r="D765" s="10" t="s">
        <v>772</v>
      </c>
      <c r="E765" s="10" t="str">
        <f>"644020240513083907172347"</f>
        <v>644020240513083907172347</v>
      </c>
      <c r="F765" s="9"/>
    </row>
    <row r="766" s="2" customFormat="1" ht="30" customHeight="1" spans="1:6">
      <c r="A766" s="9">
        <v>763</v>
      </c>
      <c r="B766" s="10" t="s">
        <v>666</v>
      </c>
      <c r="C766" s="10" t="s">
        <v>667</v>
      </c>
      <c r="D766" s="10" t="s">
        <v>773</v>
      </c>
      <c r="E766" s="10" t="str">
        <f>"644020240512091037168146"</f>
        <v>644020240512091037168146</v>
      </c>
      <c r="F766" s="9"/>
    </row>
    <row r="767" s="2" customFormat="1" ht="30" customHeight="1" spans="1:6">
      <c r="A767" s="9">
        <v>764</v>
      </c>
      <c r="B767" s="10" t="s">
        <v>666</v>
      </c>
      <c r="C767" s="10" t="s">
        <v>667</v>
      </c>
      <c r="D767" s="10" t="s">
        <v>774</v>
      </c>
      <c r="E767" s="10" t="str">
        <f>"644020240512155147169848"</f>
        <v>644020240512155147169848</v>
      </c>
      <c r="F767" s="9"/>
    </row>
    <row r="768" s="2" customFormat="1" ht="30" customHeight="1" spans="1:6">
      <c r="A768" s="9">
        <v>765</v>
      </c>
      <c r="B768" s="10" t="s">
        <v>666</v>
      </c>
      <c r="C768" s="10" t="s">
        <v>667</v>
      </c>
      <c r="D768" s="10" t="s">
        <v>775</v>
      </c>
      <c r="E768" s="10" t="str">
        <f>"644020240513104238173533"</f>
        <v>644020240513104238173533</v>
      </c>
      <c r="F768" s="9"/>
    </row>
    <row r="769" s="2" customFormat="1" ht="30" customHeight="1" spans="1:6">
      <c r="A769" s="9">
        <v>766</v>
      </c>
      <c r="B769" s="10" t="s">
        <v>666</v>
      </c>
      <c r="C769" s="10" t="s">
        <v>667</v>
      </c>
      <c r="D769" s="10" t="s">
        <v>776</v>
      </c>
      <c r="E769" s="10" t="str">
        <f>"644020240512202759170827"</f>
        <v>644020240512202759170827</v>
      </c>
      <c r="F769" s="9"/>
    </row>
    <row r="770" s="2" customFormat="1" ht="30" customHeight="1" spans="1:6">
      <c r="A770" s="9">
        <v>767</v>
      </c>
      <c r="B770" s="10" t="s">
        <v>666</v>
      </c>
      <c r="C770" s="10" t="s">
        <v>667</v>
      </c>
      <c r="D770" s="10" t="s">
        <v>777</v>
      </c>
      <c r="E770" s="10" t="str">
        <f>"644020240513114820174079"</f>
        <v>644020240513114820174079</v>
      </c>
      <c r="F770" s="9"/>
    </row>
    <row r="771" s="2" customFormat="1" ht="30" customHeight="1" spans="1:6">
      <c r="A771" s="9">
        <v>768</v>
      </c>
      <c r="B771" s="10" t="s">
        <v>666</v>
      </c>
      <c r="C771" s="10" t="s">
        <v>667</v>
      </c>
      <c r="D771" s="10" t="s">
        <v>778</v>
      </c>
      <c r="E771" s="10" t="str">
        <f>"644020240513092159172728"</f>
        <v>644020240513092159172728</v>
      </c>
      <c r="F771" s="9"/>
    </row>
    <row r="772" s="2" customFormat="1" ht="30" customHeight="1" spans="1:6">
      <c r="A772" s="9">
        <v>769</v>
      </c>
      <c r="B772" s="10" t="s">
        <v>666</v>
      </c>
      <c r="C772" s="10" t="s">
        <v>667</v>
      </c>
      <c r="D772" s="10" t="s">
        <v>779</v>
      </c>
      <c r="E772" s="10" t="str">
        <f>"644020240513101608173270"</f>
        <v>644020240513101608173270</v>
      </c>
      <c r="F772" s="9"/>
    </row>
    <row r="773" s="2" customFormat="1" ht="30" customHeight="1" spans="1:6">
      <c r="A773" s="9">
        <v>770</v>
      </c>
      <c r="B773" s="10" t="s">
        <v>666</v>
      </c>
      <c r="C773" s="10" t="s">
        <v>667</v>
      </c>
      <c r="D773" s="10" t="s">
        <v>780</v>
      </c>
      <c r="E773" s="10" t="str">
        <f>"644020240512203420170859"</f>
        <v>644020240512203420170859</v>
      </c>
      <c r="F773" s="9"/>
    </row>
    <row r="774" s="2" customFormat="1" ht="30" customHeight="1" spans="1:6">
      <c r="A774" s="9">
        <v>771</v>
      </c>
      <c r="B774" s="10" t="s">
        <v>666</v>
      </c>
      <c r="C774" s="10" t="s">
        <v>667</v>
      </c>
      <c r="D774" s="10" t="s">
        <v>781</v>
      </c>
      <c r="E774" s="10" t="str">
        <f>"644020240512231033171732"</f>
        <v>644020240512231033171732</v>
      </c>
      <c r="F774" s="9"/>
    </row>
    <row r="775" s="2" customFormat="1" ht="30" customHeight="1" spans="1:6">
      <c r="A775" s="9">
        <v>772</v>
      </c>
      <c r="B775" s="10" t="s">
        <v>666</v>
      </c>
      <c r="C775" s="10" t="s">
        <v>667</v>
      </c>
      <c r="D775" s="10" t="s">
        <v>782</v>
      </c>
      <c r="E775" s="10" t="str">
        <f>"644020240513123147174309"</f>
        <v>644020240513123147174309</v>
      </c>
      <c r="F775" s="9"/>
    </row>
    <row r="776" s="2" customFormat="1" ht="30" customHeight="1" spans="1:6">
      <c r="A776" s="9">
        <v>773</v>
      </c>
      <c r="B776" s="10" t="s">
        <v>666</v>
      </c>
      <c r="C776" s="10" t="s">
        <v>667</v>
      </c>
      <c r="D776" s="10" t="s">
        <v>783</v>
      </c>
      <c r="E776" s="10" t="str">
        <f>"644020240512140747169478"</f>
        <v>644020240512140747169478</v>
      </c>
      <c r="F776" s="9"/>
    </row>
    <row r="777" s="2" customFormat="1" ht="30" customHeight="1" spans="1:6">
      <c r="A777" s="9">
        <v>774</v>
      </c>
      <c r="B777" s="10" t="s">
        <v>666</v>
      </c>
      <c r="C777" s="10" t="s">
        <v>667</v>
      </c>
      <c r="D777" s="10" t="s">
        <v>784</v>
      </c>
      <c r="E777" s="10" t="str">
        <f>"644020240513114515174058"</f>
        <v>644020240513114515174058</v>
      </c>
      <c r="F777" s="9"/>
    </row>
    <row r="778" s="2" customFormat="1" ht="30" customHeight="1" spans="1:6">
      <c r="A778" s="9">
        <v>775</v>
      </c>
      <c r="B778" s="10" t="s">
        <v>666</v>
      </c>
      <c r="C778" s="10" t="s">
        <v>667</v>
      </c>
      <c r="D778" s="10" t="s">
        <v>785</v>
      </c>
      <c r="E778" s="10" t="str">
        <f>"644020240512101506168475"</f>
        <v>644020240512101506168475</v>
      </c>
      <c r="F778" s="9"/>
    </row>
    <row r="779" s="2" customFormat="1" ht="30" customHeight="1" spans="1:6">
      <c r="A779" s="9">
        <v>776</v>
      </c>
      <c r="B779" s="10" t="s">
        <v>666</v>
      </c>
      <c r="C779" s="10" t="s">
        <v>667</v>
      </c>
      <c r="D779" s="10" t="s">
        <v>786</v>
      </c>
      <c r="E779" s="10" t="str">
        <f>"644020240513134040174714"</f>
        <v>644020240513134040174714</v>
      </c>
      <c r="F779" s="9"/>
    </row>
    <row r="780" s="2" customFormat="1" ht="30" customHeight="1" spans="1:6">
      <c r="A780" s="9">
        <v>777</v>
      </c>
      <c r="B780" s="10" t="s">
        <v>666</v>
      </c>
      <c r="C780" s="10" t="s">
        <v>667</v>
      </c>
      <c r="D780" s="10" t="s">
        <v>787</v>
      </c>
      <c r="E780" s="10" t="str">
        <f>"644020240513142633174947"</f>
        <v>644020240513142633174947</v>
      </c>
      <c r="F780" s="9"/>
    </row>
    <row r="781" s="2" customFormat="1" ht="30" customHeight="1" spans="1:6">
      <c r="A781" s="9">
        <v>778</v>
      </c>
      <c r="B781" s="10" t="s">
        <v>666</v>
      </c>
      <c r="C781" s="10" t="s">
        <v>667</v>
      </c>
      <c r="D781" s="10" t="s">
        <v>788</v>
      </c>
      <c r="E781" s="10" t="str">
        <f>"644020240513132029174617"</f>
        <v>644020240513132029174617</v>
      </c>
      <c r="F781" s="9"/>
    </row>
    <row r="782" s="2" customFormat="1" ht="30" customHeight="1" spans="1:6">
      <c r="A782" s="9">
        <v>779</v>
      </c>
      <c r="B782" s="10" t="s">
        <v>666</v>
      </c>
      <c r="C782" s="10" t="s">
        <v>667</v>
      </c>
      <c r="D782" s="10" t="s">
        <v>789</v>
      </c>
      <c r="E782" s="10" t="str">
        <f>"644020240513144553175078"</f>
        <v>644020240513144553175078</v>
      </c>
      <c r="F782" s="9"/>
    </row>
    <row r="783" s="2" customFormat="1" ht="30" customHeight="1" spans="1:6">
      <c r="A783" s="9">
        <v>780</v>
      </c>
      <c r="B783" s="10" t="s">
        <v>666</v>
      </c>
      <c r="C783" s="10" t="s">
        <v>667</v>
      </c>
      <c r="D783" s="10" t="s">
        <v>790</v>
      </c>
      <c r="E783" s="10" t="str">
        <f>"644020240513134550174736"</f>
        <v>644020240513134550174736</v>
      </c>
      <c r="F783" s="9"/>
    </row>
    <row r="784" s="2" customFormat="1" ht="30" customHeight="1" spans="1:6">
      <c r="A784" s="9">
        <v>781</v>
      </c>
      <c r="B784" s="10" t="s">
        <v>666</v>
      </c>
      <c r="C784" s="10" t="s">
        <v>667</v>
      </c>
      <c r="D784" s="10" t="s">
        <v>791</v>
      </c>
      <c r="E784" s="10" t="str">
        <f>"644020240513150123175196"</f>
        <v>644020240513150123175196</v>
      </c>
      <c r="F784" s="9"/>
    </row>
    <row r="785" s="2" customFormat="1" ht="30" customHeight="1" spans="1:6">
      <c r="A785" s="9">
        <v>782</v>
      </c>
      <c r="B785" s="10" t="s">
        <v>666</v>
      </c>
      <c r="C785" s="10" t="s">
        <v>667</v>
      </c>
      <c r="D785" s="10" t="s">
        <v>792</v>
      </c>
      <c r="E785" s="10" t="str">
        <f>"644020240513093115172813"</f>
        <v>644020240513093115172813</v>
      </c>
      <c r="F785" s="9"/>
    </row>
    <row r="786" s="2" customFormat="1" ht="30" customHeight="1" spans="1:6">
      <c r="A786" s="9">
        <v>783</v>
      </c>
      <c r="B786" s="10" t="s">
        <v>666</v>
      </c>
      <c r="C786" s="10" t="s">
        <v>667</v>
      </c>
      <c r="D786" s="10" t="s">
        <v>793</v>
      </c>
      <c r="E786" s="10" t="str">
        <f>"644020240513151904175360"</f>
        <v>644020240513151904175360</v>
      </c>
      <c r="F786" s="9"/>
    </row>
    <row r="787" s="2" customFormat="1" ht="30" customHeight="1" spans="1:6">
      <c r="A787" s="9">
        <v>784</v>
      </c>
      <c r="B787" s="10" t="s">
        <v>666</v>
      </c>
      <c r="C787" s="10" t="s">
        <v>667</v>
      </c>
      <c r="D787" s="10" t="s">
        <v>794</v>
      </c>
      <c r="E787" s="10" t="str">
        <f>"644020240513145144175122"</f>
        <v>644020240513145144175122</v>
      </c>
      <c r="F787" s="9"/>
    </row>
    <row r="788" s="2" customFormat="1" ht="30" customHeight="1" spans="1:6">
      <c r="A788" s="9">
        <v>785</v>
      </c>
      <c r="B788" s="10" t="s">
        <v>666</v>
      </c>
      <c r="C788" s="10" t="s">
        <v>667</v>
      </c>
      <c r="D788" s="10" t="s">
        <v>795</v>
      </c>
      <c r="E788" s="10" t="str">
        <f>"644020240513105316173627"</f>
        <v>644020240513105316173627</v>
      </c>
      <c r="F788" s="9"/>
    </row>
    <row r="789" s="2" customFormat="1" ht="30" customHeight="1" spans="1:6">
      <c r="A789" s="9">
        <v>786</v>
      </c>
      <c r="B789" s="10" t="s">
        <v>666</v>
      </c>
      <c r="C789" s="10" t="s">
        <v>667</v>
      </c>
      <c r="D789" s="10" t="s">
        <v>796</v>
      </c>
      <c r="E789" s="10" t="str">
        <f>"644020240512215419171289"</f>
        <v>644020240512215419171289</v>
      </c>
      <c r="F789" s="9"/>
    </row>
    <row r="790" s="2" customFormat="1" ht="30" customHeight="1" spans="1:6">
      <c r="A790" s="9">
        <v>787</v>
      </c>
      <c r="B790" s="10" t="s">
        <v>666</v>
      </c>
      <c r="C790" s="10" t="s">
        <v>667</v>
      </c>
      <c r="D790" s="10" t="s">
        <v>797</v>
      </c>
      <c r="E790" s="10" t="str">
        <f>"644020240512110105168728"</f>
        <v>644020240512110105168728</v>
      </c>
      <c r="F790" s="9"/>
    </row>
    <row r="791" s="2" customFormat="1" ht="30" customHeight="1" spans="1:6">
      <c r="A791" s="9">
        <v>788</v>
      </c>
      <c r="B791" s="10" t="s">
        <v>666</v>
      </c>
      <c r="C791" s="10" t="s">
        <v>667</v>
      </c>
      <c r="D791" s="10" t="s">
        <v>798</v>
      </c>
      <c r="E791" s="10" t="str">
        <f>"644020240513070805172129"</f>
        <v>644020240513070805172129</v>
      </c>
      <c r="F791" s="9"/>
    </row>
    <row r="792" s="2" customFormat="1" ht="30" customHeight="1" spans="1:6">
      <c r="A792" s="9">
        <v>789</v>
      </c>
      <c r="B792" s="10" t="s">
        <v>666</v>
      </c>
      <c r="C792" s="10" t="s">
        <v>667</v>
      </c>
      <c r="D792" s="10" t="s">
        <v>799</v>
      </c>
      <c r="E792" s="10" t="str">
        <f>"644020240512125643169226"</f>
        <v>644020240512125643169226</v>
      </c>
      <c r="F792" s="9"/>
    </row>
    <row r="793" s="2" customFormat="1" ht="30" customHeight="1" spans="1:6">
      <c r="A793" s="9">
        <v>790</v>
      </c>
      <c r="B793" s="10" t="s">
        <v>666</v>
      </c>
      <c r="C793" s="10" t="s">
        <v>667</v>
      </c>
      <c r="D793" s="10" t="s">
        <v>800</v>
      </c>
      <c r="E793" s="10" t="str">
        <f>"644020240513155831175770"</f>
        <v>644020240513155831175770</v>
      </c>
      <c r="F793" s="9"/>
    </row>
    <row r="794" s="2" customFormat="1" ht="30" customHeight="1" spans="1:6">
      <c r="A794" s="9">
        <v>791</v>
      </c>
      <c r="B794" s="10" t="s">
        <v>666</v>
      </c>
      <c r="C794" s="10" t="s">
        <v>667</v>
      </c>
      <c r="D794" s="10" t="s">
        <v>801</v>
      </c>
      <c r="E794" s="10" t="str">
        <f>"644020240512125515169222"</f>
        <v>644020240512125515169222</v>
      </c>
      <c r="F794" s="9"/>
    </row>
    <row r="795" s="2" customFormat="1" ht="30" customHeight="1" spans="1:6">
      <c r="A795" s="9">
        <v>792</v>
      </c>
      <c r="B795" s="10" t="s">
        <v>666</v>
      </c>
      <c r="C795" s="10" t="s">
        <v>667</v>
      </c>
      <c r="D795" s="10" t="s">
        <v>802</v>
      </c>
      <c r="E795" s="10" t="str">
        <f>"644020240513154906175664"</f>
        <v>644020240513154906175664</v>
      </c>
      <c r="F795" s="9"/>
    </row>
    <row r="796" s="2" customFormat="1" ht="30" customHeight="1" spans="1:6">
      <c r="A796" s="9">
        <v>793</v>
      </c>
      <c r="B796" s="10" t="s">
        <v>666</v>
      </c>
      <c r="C796" s="10" t="s">
        <v>667</v>
      </c>
      <c r="D796" s="10" t="s">
        <v>803</v>
      </c>
      <c r="E796" s="10" t="str">
        <f>"644020240513085937172479"</f>
        <v>644020240513085937172479</v>
      </c>
      <c r="F796" s="9"/>
    </row>
    <row r="797" s="2" customFormat="1" ht="30" customHeight="1" spans="1:6">
      <c r="A797" s="9">
        <v>794</v>
      </c>
      <c r="B797" s="10" t="s">
        <v>666</v>
      </c>
      <c r="C797" s="10" t="s">
        <v>667</v>
      </c>
      <c r="D797" s="10" t="s">
        <v>804</v>
      </c>
      <c r="E797" s="10" t="str">
        <f>"644020240512172147170183"</f>
        <v>644020240512172147170183</v>
      </c>
      <c r="F797" s="9"/>
    </row>
    <row r="798" s="2" customFormat="1" ht="30" customHeight="1" spans="1:6">
      <c r="A798" s="9">
        <v>795</v>
      </c>
      <c r="B798" s="10" t="s">
        <v>666</v>
      </c>
      <c r="C798" s="10" t="s">
        <v>667</v>
      </c>
      <c r="D798" s="10" t="s">
        <v>805</v>
      </c>
      <c r="E798" s="10" t="str">
        <f>"644020240513161130175854"</f>
        <v>644020240513161130175854</v>
      </c>
      <c r="F798" s="9"/>
    </row>
    <row r="799" s="2" customFormat="1" ht="30" customHeight="1" spans="1:6">
      <c r="A799" s="9">
        <v>796</v>
      </c>
      <c r="B799" s="10" t="s">
        <v>666</v>
      </c>
      <c r="C799" s="10" t="s">
        <v>667</v>
      </c>
      <c r="D799" s="10" t="s">
        <v>806</v>
      </c>
      <c r="E799" s="10" t="str">
        <f>"644020240513160620175819"</f>
        <v>644020240513160620175819</v>
      </c>
      <c r="F799" s="9"/>
    </row>
    <row r="800" s="2" customFormat="1" ht="30" customHeight="1" spans="1:6">
      <c r="A800" s="9">
        <v>797</v>
      </c>
      <c r="B800" s="10" t="s">
        <v>666</v>
      </c>
      <c r="C800" s="10" t="s">
        <v>667</v>
      </c>
      <c r="D800" s="10" t="s">
        <v>807</v>
      </c>
      <c r="E800" s="10" t="str">
        <f>"644020240513160934175842"</f>
        <v>644020240513160934175842</v>
      </c>
      <c r="F800" s="9"/>
    </row>
    <row r="801" s="2" customFormat="1" ht="30" customHeight="1" spans="1:6">
      <c r="A801" s="9">
        <v>798</v>
      </c>
      <c r="B801" s="10" t="s">
        <v>666</v>
      </c>
      <c r="C801" s="10" t="s">
        <v>667</v>
      </c>
      <c r="D801" s="10" t="s">
        <v>808</v>
      </c>
      <c r="E801" s="10" t="str">
        <f>"644020240512203826170880"</f>
        <v>644020240512203826170880</v>
      </c>
      <c r="F801" s="9"/>
    </row>
    <row r="802" s="2" customFormat="1" ht="30" customHeight="1" spans="1:6">
      <c r="A802" s="9">
        <v>799</v>
      </c>
      <c r="B802" s="10" t="s">
        <v>666</v>
      </c>
      <c r="C802" s="10" t="s">
        <v>667</v>
      </c>
      <c r="D802" s="10" t="s">
        <v>809</v>
      </c>
      <c r="E802" s="10" t="str">
        <f>"644020240513182203176402"</f>
        <v>644020240513182203176402</v>
      </c>
      <c r="F802" s="9"/>
    </row>
    <row r="803" s="2" customFormat="1" ht="30" customHeight="1" spans="1:6">
      <c r="A803" s="9">
        <v>800</v>
      </c>
      <c r="B803" s="10" t="s">
        <v>666</v>
      </c>
      <c r="C803" s="10" t="s">
        <v>667</v>
      </c>
      <c r="D803" s="10" t="s">
        <v>810</v>
      </c>
      <c r="E803" s="10" t="str">
        <f>"644020240513184322176457"</f>
        <v>644020240513184322176457</v>
      </c>
      <c r="F803" s="9"/>
    </row>
    <row r="804" s="2" customFormat="1" ht="30" customHeight="1" spans="1:6">
      <c r="A804" s="9">
        <v>801</v>
      </c>
      <c r="B804" s="10" t="s">
        <v>666</v>
      </c>
      <c r="C804" s="10" t="s">
        <v>667</v>
      </c>
      <c r="D804" s="10" t="s">
        <v>811</v>
      </c>
      <c r="E804" s="10" t="str">
        <f>"644020240513101431173254"</f>
        <v>644020240513101431173254</v>
      </c>
      <c r="F804" s="9"/>
    </row>
    <row r="805" s="2" customFormat="1" ht="30" customHeight="1" spans="1:6">
      <c r="A805" s="9">
        <v>802</v>
      </c>
      <c r="B805" s="10" t="s">
        <v>666</v>
      </c>
      <c r="C805" s="10" t="s">
        <v>667</v>
      </c>
      <c r="D805" s="10" t="s">
        <v>812</v>
      </c>
      <c r="E805" s="10" t="str">
        <f>"644020240512131849169313"</f>
        <v>644020240512131849169313</v>
      </c>
      <c r="F805" s="9"/>
    </row>
    <row r="806" s="2" customFormat="1" ht="30" customHeight="1" spans="1:6">
      <c r="A806" s="9">
        <v>803</v>
      </c>
      <c r="B806" s="10" t="s">
        <v>666</v>
      </c>
      <c r="C806" s="10" t="s">
        <v>667</v>
      </c>
      <c r="D806" s="10" t="s">
        <v>813</v>
      </c>
      <c r="E806" s="10" t="str">
        <f>"644020240513020236172060"</f>
        <v>644020240513020236172060</v>
      </c>
      <c r="F806" s="9"/>
    </row>
    <row r="807" s="2" customFormat="1" ht="30" customHeight="1" spans="1:6">
      <c r="A807" s="9">
        <v>804</v>
      </c>
      <c r="B807" s="10" t="s">
        <v>666</v>
      </c>
      <c r="C807" s="10" t="s">
        <v>667</v>
      </c>
      <c r="D807" s="10" t="s">
        <v>814</v>
      </c>
      <c r="E807" s="10" t="str">
        <f>"644020240513190718176535"</f>
        <v>644020240513190718176535</v>
      </c>
      <c r="F807" s="9"/>
    </row>
    <row r="808" s="2" customFormat="1" ht="30" customHeight="1" spans="1:6">
      <c r="A808" s="9">
        <v>805</v>
      </c>
      <c r="B808" s="10" t="s">
        <v>666</v>
      </c>
      <c r="C808" s="10" t="s">
        <v>667</v>
      </c>
      <c r="D808" s="10" t="s">
        <v>815</v>
      </c>
      <c r="E808" s="10" t="str">
        <f>"644020240513065232172113"</f>
        <v>644020240513065232172113</v>
      </c>
      <c r="F808" s="9"/>
    </row>
    <row r="809" s="2" customFormat="1" ht="30" customHeight="1" spans="1:6">
      <c r="A809" s="9">
        <v>806</v>
      </c>
      <c r="B809" s="10" t="s">
        <v>666</v>
      </c>
      <c r="C809" s="10" t="s">
        <v>667</v>
      </c>
      <c r="D809" s="10" t="s">
        <v>816</v>
      </c>
      <c r="E809" s="10" t="str">
        <f>"644020240513172107176193"</f>
        <v>644020240513172107176193</v>
      </c>
      <c r="F809" s="9"/>
    </row>
    <row r="810" s="2" customFormat="1" ht="30" customHeight="1" spans="1:6">
      <c r="A810" s="9">
        <v>807</v>
      </c>
      <c r="B810" s="10" t="s">
        <v>666</v>
      </c>
      <c r="C810" s="10" t="s">
        <v>667</v>
      </c>
      <c r="D810" s="10" t="s">
        <v>817</v>
      </c>
      <c r="E810" s="10" t="str">
        <f>"644020240513105509173645"</f>
        <v>644020240513105509173645</v>
      </c>
      <c r="F810" s="9"/>
    </row>
    <row r="811" s="2" customFormat="1" ht="30" customHeight="1" spans="1:6">
      <c r="A811" s="9">
        <v>808</v>
      </c>
      <c r="B811" s="10" t="s">
        <v>666</v>
      </c>
      <c r="C811" s="10" t="s">
        <v>667</v>
      </c>
      <c r="D811" s="10" t="s">
        <v>818</v>
      </c>
      <c r="E811" s="10" t="str">
        <f>"644020240512161514169939"</f>
        <v>644020240512161514169939</v>
      </c>
      <c r="F811" s="9"/>
    </row>
    <row r="812" s="2" customFormat="1" ht="30" customHeight="1" spans="1:6">
      <c r="A812" s="9">
        <v>809</v>
      </c>
      <c r="B812" s="10" t="s">
        <v>666</v>
      </c>
      <c r="C812" s="10" t="s">
        <v>667</v>
      </c>
      <c r="D812" s="10" t="s">
        <v>819</v>
      </c>
      <c r="E812" s="10" t="str">
        <f>"644020240513195121176699"</f>
        <v>644020240513195121176699</v>
      </c>
      <c r="F812" s="9"/>
    </row>
    <row r="813" s="2" customFormat="1" ht="30" customHeight="1" spans="1:6">
      <c r="A813" s="9">
        <v>810</v>
      </c>
      <c r="B813" s="10" t="s">
        <v>666</v>
      </c>
      <c r="C813" s="10" t="s">
        <v>667</v>
      </c>
      <c r="D813" s="10" t="s">
        <v>820</v>
      </c>
      <c r="E813" s="10" t="str">
        <f>"644020240513193800176648"</f>
        <v>644020240513193800176648</v>
      </c>
      <c r="F813" s="9"/>
    </row>
    <row r="814" s="2" customFormat="1" ht="30" customHeight="1" spans="1:6">
      <c r="A814" s="9">
        <v>811</v>
      </c>
      <c r="B814" s="10" t="s">
        <v>666</v>
      </c>
      <c r="C814" s="10" t="s">
        <v>667</v>
      </c>
      <c r="D814" s="10" t="s">
        <v>821</v>
      </c>
      <c r="E814" s="10" t="str">
        <f>"644020240513193408176634"</f>
        <v>644020240513193408176634</v>
      </c>
      <c r="F814" s="9"/>
    </row>
    <row r="815" s="2" customFormat="1" ht="30" customHeight="1" spans="1:6">
      <c r="A815" s="9">
        <v>812</v>
      </c>
      <c r="B815" s="10" t="s">
        <v>666</v>
      </c>
      <c r="C815" s="10" t="s">
        <v>667</v>
      </c>
      <c r="D815" s="10" t="s">
        <v>822</v>
      </c>
      <c r="E815" s="10" t="str">
        <f>"644020240513194532176674"</f>
        <v>644020240513194532176674</v>
      </c>
      <c r="F815" s="9"/>
    </row>
    <row r="816" s="2" customFormat="1" ht="30" customHeight="1" spans="1:6">
      <c r="A816" s="9">
        <v>813</v>
      </c>
      <c r="B816" s="10" t="s">
        <v>666</v>
      </c>
      <c r="C816" s="10" t="s">
        <v>667</v>
      </c>
      <c r="D816" s="10" t="s">
        <v>823</v>
      </c>
      <c r="E816" s="10" t="str">
        <f>"644020240513112522173927"</f>
        <v>644020240513112522173927</v>
      </c>
      <c r="F816" s="9"/>
    </row>
    <row r="817" s="2" customFormat="1" ht="30" customHeight="1" spans="1:6">
      <c r="A817" s="9">
        <v>814</v>
      </c>
      <c r="B817" s="10" t="s">
        <v>666</v>
      </c>
      <c r="C817" s="10" t="s">
        <v>667</v>
      </c>
      <c r="D817" s="10" t="s">
        <v>824</v>
      </c>
      <c r="E817" s="10" t="str">
        <f>"644020240513152020175371"</f>
        <v>644020240513152020175371</v>
      </c>
      <c r="F817" s="9"/>
    </row>
    <row r="818" s="2" customFormat="1" ht="30" customHeight="1" spans="1:6">
      <c r="A818" s="9">
        <v>815</v>
      </c>
      <c r="B818" s="10" t="s">
        <v>666</v>
      </c>
      <c r="C818" s="10" t="s">
        <v>667</v>
      </c>
      <c r="D818" s="10" t="s">
        <v>825</v>
      </c>
      <c r="E818" s="10" t="str">
        <f>"644020240513154548175633"</f>
        <v>644020240513154548175633</v>
      </c>
      <c r="F818" s="9"/>
    </row>
    <row r="819" s="2" customFormat="1" ht="30" customHeight="1" spans="1:6">
      <c r="A819" s="9">
        <v>816</v>
      </c>
      <c r="B819" s="10" t="s">
        <v>666</v>
      </c>
      <c r="C819" s="10" t="s">
        <v>667</v>
      </c>
      <c r="D819" s="10" t="s">
        <v>826</v>
      </c>
      <c r="E819" s="10" t="str">
        <f>"644020240512091332168169"</f>
        <v>644020240512091332168169</v>
      </c>
      <c r="F819" s="9"/>
    </row>
    <row r="820" s="2" customFormat="1" ht="30" customHeight="1" spans="1:6">
      <c r="A820" s="9">
        <v>817</v>
      </c>
      <c r="B820" s="10" t="s">
        <v>666</v>
      </c>
      <c r="C820" s="10" t="s">
        <v>667</v>
      </c>
      <c r="D820" s="10" t="s">
        <v>827</v>
      </c>
      <c r="E820" s="10" t="str">
        <f>"644020240512192454170586"</f>
        <v>644020240512192454170586</v>
      </c>
      <c r="F820" s="9"/>
    </row>
    <row r="821" s="2" customFormat="1" ht="30" customHeight="1" spans="1:6">
      <c r="A821" s="9">
        <v>818</v>
      </c>
      <c r="B821" s="10" t="s">
        <v>666</v>
      </c>
      <c r="C821" s="10" t="s">
        <v>667</v>
      </c>
      <c r="D821" s="10" t="s">
        <v>828</v>
      </c>
      <c r="E821" s="10" t="str">
        <f>"644020240513204333176896"</f>
        <v>644020240513204333176896</v>
      </c>
      <c r="F821" s="9"/>
    </row>
    <row r="822" s="2" customFormat="1" ht="30" customHeight="1" spans="1:6">
      <c r="A822" s="9">
        <v>819</v>
      </c>
      <c r="B822" s="10" t="s">
        <v>666</v>
      </c>
      <c r="C822" s="10" t="s">
        <v>667</v>
      </c>
      <c r="D822" s="10" t="s">
        <v>829</v>
      </c>
      <c r="E822" s="10" t="str">
        <f>"644020240513190035176512"</f>
        <v>644020240513190035176512</v>
      </c>
      <c r="F822" s="9"/>
    </row>
    <row r="823" s="2" customFormat="1" ht="30" customHeight="1" spans="1:6">
      <c r="A823" s="9">
        <v>820</v>
      </c>
      <c r="B823" s="10" t="s">
        <v>666</v>
      </c>
      <c r="C823" s="10" t="s">
        <v>667</v>
      </c>
      <c r="D823" s="10" t="s">
        <v>830</v>
      </c>
      <c r="E823" s="10" t="str">
        <f>"644020240513201126176767"</f>
        <v>644020240513201126176767</v>
      </c>
      <c r="F823" s="9"/>
    </row>
    <row r="824" s="2" customFormat="1" ht="30" customHeight="1" spans="1:6">
      <c r="A824" s="9">
        <v>821</v>
      </c>
      <c r="B824" s="10" t="s">
        <v>666</v>
      </c>
      <c r="C824" s="10" t="s">
        <v>667</v>
      </c>
      <c r="D824" s="10" t="s">
        <v>831</v>
      </c>
      <c r="E824" s="10" t="str">
        <f>"644020240513201032176765"</f>
        <v>644020240513201032176765</v>
      </c>
      <c r="F824" s="9"/>
    </row>
    <row r="825" s="2" customFormat="1" ht="30" customHeight="1" spans="1:6">
      <c r="A825" s="9">
        <v>822</v>
      </c>
      <c r="B825" s="10" t="s">
        <v>666</v>
      </c>
      <c r="C825" s="10" t="s">
        <v>667</v>
      </c>
      <c r="D825" s="10" t="s">
        <v>832</v>
      </c>
      <c r="E825" s="10" t="str">
        <f>"644020240513152732175438"</f>
        <v>644020240513152732175438</v>
      </c>
      <c r="F825" s="9"/>
    </row>
    <row r="826" s="2" customFormat="1" ht="30" customHeight="1" spans="1:6">
      <c r="A826" s="9">
        <v>823</v>
      </c>
      <c r="B826" s="10" t="s">
        <v>666</v>
      </c>
      <c r="C826" s="10" t="s">
        <v>667</v>
      </c>
      <c r="D826" s="10" t="s">
        <v>833</v>
      </c>
      <c r="E826" s="10" t="str">
        <f>"644020240513211440177019"</f>
        <v>644020240513211440177019</v>
      </c>
      <c r="F826" s="9"/>
    </row>
    <row r="827" s="2" customFormat="1" ht="30" customHeight="1" spans="1:6">
      <c r="A827" s="9">
        <v>824</v>
      </c>
      <c r="B827" s="10" t="s">
        <v>666</v>
      </c>
      <c r="C827" s="10" t="s">
        <v>667</v>
      </c>
      <c r="D827" s="10" t="s">
        <v>834</v>
      </c>
      <c r="E827" s="10" t="str">
        <f>"644020240512205458170963"</f>
        <v>644020240512205458170963</v>
      </c>
      <c r="F827" s="9"/>
    </row>
    <row r="828" s="2" customFormat="1" ht="30" customHeight="1" spans="1:6">
      <c r="A828" s="9">
        <v>825</v>
      </c>
      <c r="B828" s="10" t="s">
        <v>666</v>
      </c>
      <c r="C828" s="10" t="s">
        <v>667</v>
      </c>
      <c r="D828" s="10" t="s">
        <v>835</v>
      </c>
      <c r="E828" s="10" t="str">
        <f>"644020240513092801172788"</f>
        <v>644020240513092801172788</v>
      </c>
      <c r="F828" s="9"/>
    </row>
    <row r="829" s="2" customFormat="1" ht="30" customHeight="1" spans="1:6">
      <c r="A829" s="9">
        <v>826</v>
      </c>
      <c r="B829" s="10" t="s">
        <v>666</v>
      </c>
      <c r="C829" s="10" t="s">
        <v>667</v>
      </c>
      <c r="D829" s="10" t="s">
        <v>836</v>
      </c>
      <c r="E829" s="10" t="str">
        <f>"644020240512114853168971"</f>
        <v>644020240512114853168971</v>
      </c>
      <c r="F829" s="9"/>
    </row>
    <row r="830" s="2" customFormat="1" ht="30" customHeight="1" spans="1:6">
      <c r="A830" s="9">
        <v>827</v>
      </c>
      <c r="B830" s="10" t="s">
        <v>666</v>
      </c>
      <c r="C830" s="10" t="s">
        <v>667</v>
      </c>
      <c r="D830" s="10" t="s">
        <v>837</v>
      </c>
      <c r="E830" s="10" t="str">
        <f>"644020240512150139169652"</f>
        <v>644020240512150139169652</v>
      </c>
      <c r="F830" s="9"/>
    </row>
    <row r="831" s="2" customFormat="1" ht="30" customHeight="1" spans="1:6">
      <c r="A831" s="9">
        <v>828</v>
      </c>
      <c r="B831" s="10" t="s">
        <v>666</v>
      </c>
      <c r="C831" s="10" t="s">
        <v>667</v>
      </c>
      <c r="D831" s="10" t="s">
        <v>838</v>
      </c>
      <c r="E831" s="10" t="str">
        <f>"644020240512182607170384"</f>
        <v>644020240512182607170384</v>
      </c>
      <c r="F831" s="9"/>
    </row>
    <row r="832" s="2" customFormat="1" ht="30" customHeight="1" spans="1:6">
      <c r="A832" s="9">
        <v>829</v>
      </c>
      <c r="B832" s="10" t="s">
        <v>666</v>
      </c>
      <c r="C832" s="10" t="s">
        <v>667</v>
      </c>
      <c r="D832" s="10" t="s">
        <v>839</v>
      </c>
      <c r="E832" s="10" t="str">
        <f>"644020240513134316174723"</f>
        <v>644020240513134316174723</v>
      </c>
      <c r="F832" s="9"/>
    </row>
    <row r="833" s="2" customFormat="1" ht="30" customHeight="1" spans="1:6">
      <c r="A833" s="9">
        <v>830</v>
      </c>
      <c r="B833" s="10" t="s">
        <v>666</v>
      </c>
      <c r="C833" s="10" t="s">
        <v>667</v>
      </c>
      <c r="D833" s="10" t="s">
        <v>840</v>
      </c>
      <c r="E833" s="10" t="str">
        <f>"644020240512210822171029"</f>
        <v>644020240512210822171029</v>
      </c>
      <c r="F833" s="9"/>
    </row>
    <row r="834" s="2" customFormat="1" ht="30" customHeight="1" spans="1:6">
      <c r="A834" s="9">
        <v>831</v>
      </c>
      <c r="B834" s="10" t="s">
        <v>666</v>
      </c>
      <c r="C834" s="10" t="s">
        <v>667</v>
      </c>
      <c r="D834" s="10" t="s">
        <v>841</v>
      </c>
      <c r="E834" s="10" t="str">
        <f>"644020240513223434177384"</f>
        <v>644020240513223434177384</v>
      </c>
      <c r="F834" s="9"/>
    </row>
    <row r="835" s="2" customFormat="1" ht="30" customHeight="1" spans="1:6">
      <c r="A835" s="9">
        <v>832</v>
      </c>
      <c r="B835" s="10" t="s">
        <v>666</v>
      </c>
      <c r="C835" s="10" t="s">
        <v>667</v>
      </c>
      <c r="D835" s="10" t="s">
        <v>842</v>
      </c>
      <c r="E835" s="10" t="str">
        <f>"644020240513222241177340"</f>
        <v>644020240513222241177340</v>
      </c>
      <c r="F835" s="9"/>
    </row>
    <row r="836" s="2" customFormat="1" ht="30" customHeight="1" spans="1:6">
      <c r="A836" s="9">
        <v>833</v>
      </c>
      <c r="B836" s="10" t="s">
        <v>666</v>
      </c>
      <c r="C836" s="10" t="s">
        <v>667</v>
      </c>
      <c r="D836" s="10" t="s">
        <v>843</v>
      </c>
      <c r="E836" s="10" t="str">
        <f>"644020240513124612174410"</f>
        <v>644020240513124612174410</v>
      </c>
      <c r="F836" s="9"/>
    </row>
    <row r="837" s="2" customFormat="1" ht="30" customHeight="1" spans="1:6">
      <c r="A837" s="9">
        <v>834</v>
      </c>
      <c r="B837" s="10" t="s">
        <v>666</v>
      </c>
      <c r="C837" s="10" t="s">
        <v>667</v>
      </c>
      <c r="D837" s="10" t="s">
        <v>844</v>
      </c>
      <c r="E837" s="10" t="str">
        <f>"644020240513231434177544"</f>
        <v>644020240513231434177544</v>
      </c>
      <c r="F837" s="9"/>
    </row>
    <row r="838" s="2" customFormat="1" ht="30" customHeight="1" spans="1:6">
      <c r="A838" s="9">
        <v>835</v>
      </c>
      <c r="B838" s="10" t="s">
        <v>666</v>
      </c>
      <c r="C838" s="10" t="s">
        <v>667</v>
      </c>
      <c r="D838" s="10" t="s">
        <v>845</v>
      </c>
      <c r="E838" s="10" t="str">
        <f>"644020240513230051177495"</f>
        <v>644020240513230051177495</v>
      </c>
      <c r="F838" s="9"/>
    </row>
    <row r="839" s="2" customFormat="1" ht="30" customHeight="1" spans="1:6">
      <c r="A839" s="9">
        <v>836</v>
      </c>
      <c r="B839" s="10" t="s">
        <v>666</v>
      </c>
      <c r="C839" s="10" t="s">
        <v>667</v>
      </c>
      <c r="D839" s="10" t="s">
        <v>846</v>
      </c>
      <c r="E839" s="10" t="str">
        <f>"644020240513224407177421"</f>
        <v>644020240513224407177421</v>
      </c>
      <c r="F839" s="9"/>
    </row>
    <row r="840" s="2" customFormat="1" ht="30" customHeight="1" spans="1:6">
      <c r="A840" s="9">
        <v>837</v>
      </c>
      <c r="B840" s="10" t="s">
        <v>666</v>
      </c>
      <c r="C840" s="10" t="s">
        <v>667</v>
      </c>
      <c r="D840" s="10" t="s">
        <v>847</v>
      </c>
      <c r="E840" s="10" t="str">
        <f>"644020240513225517177474"</f>
        <v>644020240513225517177474</v>
      </c>
      <c r="F840" s="9"/>
    </row>
    <row r="841" s="2" customFormat="1" ht="30" customHeight="1" spans="1:6">
      <c r="A841" s="9">
        <v>838</v>
      </c>
      <c r="B841" s="10" t="s">
        <v>666</v>
      </c>
      <c r="C841" s="10" t="s">
        <v>667</v>
      </c>
      <c r="D841" s="10" t="s">
        <v>848</v>
      </c>
      <c r="E841" s="10" t="str">
        <f>"644020240513214803177164"</f>
        <v>644020240513214803177164</v>
      </c>
      <c r="F841" s="9"/>
    </row>
    <row r="842" s="2" customFormat="1" ht="30" customHeight="1" spans="1:6">
      <c r="A842" s="9">
        <v>839</v>
      </c>
      <c r="B842" s="10" t="s">
        <v>666</v>
      </c>
      <c r="C842" s="10" t="s">
        <v>667</v>
      </c>
      <c r="D842" s="10" t="s">
        <v>849</v>
      </c>
      <c r="E842" s="10" t="str">
        <f>"644020240512143105169552"</f>
        <v>644020240512143105169552</v>
      </c>
      <c r="F842" s="9"/>
    </row>
    <row r="843" s="2" customFormat="1" ht="30" customHeight="1" spans="1:6">
      <c r="A843" s="9">
        <v>840</v>
      </c>
      <c r="B843" s="10" t="s">
        <v>666</v>
      </c>
      <c r="C843" s="10" t="s">
        <v>667</v>
      </c>
      <c r="D843" s="10" t="s">
        <v>850</v>
      </c>
      <c r="E843" s="10" t="str">
        <f>"644020240513112558173933"</f>
        <v>644020240513112558173933</v>
      </c>
      <c r="F843" s="9"/>
    </row>
    <row r="844" s="2" customFormat="1" ht="30" customHeight="1" spans="1:6">
      <c r="A844" s="9">
        <v>841</v>
      </c>
      <c r="B844" s="10" t="s">
        <v>666</v>
      </c>
      <c r="C844" s="10" t="s">
        <v>667</v>
      </c>
      <c r="D844" s="10" t="s">
        <v>851</v>
      </c>
      <c r="E844" s="10" t="str">
        <f>"644020240513232454177568"</f>
        <v>644020240513232454177568</v>
      </c>
      <c r="F844" s="9"/>
    </row>
    <row r="845" s="2" customFormat="1" ht="30" customHeight="1" spans="1:6">
      <c r="A845" s="9">
        <v>842</v>
      </c>
      <c r="B845" s="10" t="s">
        <v>666</v>
      </c>
      <c r="C845" s="10" t="s">
        <v>667</v>
      </c>
      <c r="D845" s="10" t="s">
        <v>852</v>
      </c>
      <c r="E845" s="10" t="str">
        <f>"644020240513000529171937"</f>
        <v>644020240513000529171937</v>
      </c>
      <c r="F845" s="9"/>
    </row>
    <row r="846" s="2" customFormat="1" ht="30" customHeight="1" spans="1:6">
      <c r="A846" s="9">
        <v>843</v>
      </c>
      <c r="B846" s="10" t="s">
        <v>666</v>
      </c>
      <c r="C846" s="10" t="s">
        <v>667</v>
      </c>
      <c r="D846" s="10" t="s">
        <v>853</v>
      </c>
      <c r="E846" s="10" t="str">
        <f>"644020240514013558177737"</f>
        <v>644020240514013558177737</v>
      </c>
      <c r="F846" s="9"/>
    </row>
    <row r="847" s="2" customFormat="1" ht="30" customHeight="1" spans="1:6">
      <c r="A847" s="9">
        <v>844</v>
      </c>
      <c r="B847" s="10" t="s">
        <v>666</v>
      </c>
      <c r="C847" s="10" t="s">
        <v>667</v>
      </c>
      <c r="D847" s="10" t="s">
        <v>854</v>
      </c>
      <c r="E847" s="10" t="str">
        <f>"644020240513192418176592"</f>
        <v>644020240513192418176592</v>
      </c>
      <c r="F847" s="9"/>
    </row>
    <row r="848" s="2" customFormat="1" ht="30" customHeight="1" spans="1:6">
      <c r="A848" s="9">
        <v>845</v>
      </c>
      <c r="B848" s="10" t="s">
        <v>666</v>
      </c>
      <c r="C848" s="10" t="s">
        <v>667</v>
      </c>
      <c r="D848" s="10" t="s">
        <v>855</v>
      </c>
      <c r="E848" s="10" t="str">
        <f>"644020240514081542177828"</f>
        <v>644020240514081542177828</v>
      </c>
      <c r="F848" s="9"/>
    </row>
    <row r="849" s="2" customFormat="1" ht="30" customHeight="1" spans="1:6">
      <c r="A849" s="9">
        <v>846</v>
      </c>
      <c r="B849" s="10" t="s">
        <v>666</v>
      </c>
      <c r="C849" s="10" t="s">
        <v>667</v>
      </c>
      <c r="D849" s="10" t="s">
        <v>856</v>
      </c>
      <c r="E849" s="10" t="str">
        <f>"644020240513100517173163"</f>
        <v>644020240513100517173163</v>
      </c>
      <c r="F849" s="9"/>
    </row>
    <row r="850" s="2" customFormat="1" ht="30" customHeight="1" spans="1:6">
      <c r="A850" s="9">
        <v>847</v>
      </c>
      <c r="B850" s="10" t="s">
        <v>666</v>
      </c>
      <c r="C850" s="10" t="s">
        <v>667</v>
      </c>
      <c r="D850" s="10" t="s">
        <v>857</v>
      </c>
      <c r="E850" s="10" t="str">
        <f>"644020240512103431168590"</f>
        <v>644020240512103431168590</v>
      </c>
      <c r="F850" s="9"/>
    </row>
    <row r="851" s="2" customFormat="1" ht="30" customHeight="1" spans="1:6">
      <c r="A851" s="9">
        <v>848</v>
      </c>
      <c r="B851" s="10" t="s">
        <v>666</v>
      </c>
      <c r="C851" s="10" t="s">
        <v>667</v>
      </c>
      <c r="D851" s="10" t="s">
        <v>858</v>
      </c>
      <c r="E851" s="10" t="str">
        <f>"644020240514094317178186"</f>
        <v>644020240514094317178186</v>
      </c>
      <c r="F851" s="9"/>
    </row>
    <row r="852" s="2" customFormat="1" ht="30" customHeight="1" spans="1:6">
      <c r="A852" s="9">
        <v>849</v>
      </c>
      <c r="B852" s="10" t="s">
        <v>666</v>
      </c>
      <c r="C852" s="10" t="s">
        <v>667</v>
      </c>
      <c r="D852" s="10" t="s">
        <v>859</v>
      </c>
      <c r="E852" s="10" t="str">
        <f>"644020240514094207178179"</f>
        <v>644020240514094207178179</v>
      </c>
      <c r="F852" s="9"/>
    </row>
    <row r="853" s="2" customFormat="1" ht="30" customHeight="1" spans="1:6">
      <c r="A853" s="9">
        <v>850</v>
      </c>
      <c r="B853" s="10" t="s">
        <v>666</v>
      </c>
      <c r="C853" s="10" t="s">
        <v>667</v>
      </c>
      <c r="D853" s="10" t="s">
        <v>860</v>
      </c>
      <c r="E853" s="10" t="str">
        <f>"644020240514100600178298"</f>
        <v>644020240514100600178298</v>
      </c>
      <c r="F853" s="9"/>
    </row>
    <row r="854" s="2" customFormat="1" ht="30" customHeight="1" spans="1:6">
      <c r="A854" s="9">
        <v>851</v>
      </c>
      <c r="B854" s="10" t="s">
        <v>666</v>
      </c>
      <c r="C854" s="10" t="s">
        <v>667</v>
      </c>
      <c r="D854" s="10" t="s">
        <v>861</v>
      </c>
      <c r="E854" s="10" t="str">
        <f>"644020240513100751173191"</f>
        <v>644020240513100751173191</v>
      </c>
      <c r="F854" s="9"/>
    </row>
    <row r="855" s="2" customFormat="1" ht="30" customHeight="1" spans="1:6">
      <c r="A855" s="9">
        <v>852</v>
      </c>
      <c r="B855" s="10" t="s">
        <v>666</v>
      </c>
      <c r="C855" s="10" t="s">
        <v>667</v>
      </c>
      <c r="D855" s="10" t="s">
        <v>862</v>
      </c>
      <c r="E855" s="10" t="str">
        <f>"644020240513093532172863"</f>
        <v>644020240513093532172863</v>
      </c>
      <c r="F855" s="9"/>
    </row>
    <row r="856" s="2" customFormat="1" ht="30" customHeight="1" spans="1:6">
      <c r="A856" s="9">
        <v>853</v>
      </c>
      <c r="B856" s="10" t="s">
        <v>666</v>
      </c>
      <c r="C856" s="10" t="s">
        <v>667</v>
      </c>
      <c r="D856" s="10" t="s">
        <v>863</v>
      </c>
      <c r="E856" s="10" t="str">
        <f>"644020240512223742171537"</f>
        <v>644020240512223742171537</v>
      </c>
      <c r="F856" s="9"/>
    </row>
    <row r="857" s="2" customFormat="1" ht="30" customHeight="1" spans="1:6">
      <c r="A857" s="9">
        <v>854</v>
      </c>
      <c r="B857" s="10" t="s">
        <v>666</v>
      </c>
      <c r="C857" s="10" t="s">
        <v>667</v>
      </c>
      <c r="D857" s="10" t="s">
        <v>864</v>
      </c>
      <c r="E857" s="10" t="str">
        <f>"644020240513110901173766"</f>
        <v>644020240513110901173766</v>
      </c>
      <c r="F857" s="9"/>
    </row>
    <row r="858" s="2" customFormat="1" ht="30" customHeight="1" spans="1:6">
      <c r="A858" s="9">
        <v>855</v>
      </c>
      <c r="B858" s="10" t="s">
        <v>666</v>
      </c>
      <c r="C858" s="10" t="s">
        <v>667</v>
      </c>
      <c r="D858" s="10" t="s">
        <v>865</v>
      </c>
      <c r="E858" s="10" t="str">
        <f>"644020240514102537178410"</f>
        <v>644020240514102537178410</v>
      </c>
      <c r="F858" s="9"/>
    </row>
    <row r="859" s="2" customFormat="1" ht="30" customHeight="1" spans="1:6">
      <c r="A859" s="9">
        <v>856</v>
      </c>
      <c r="B859" s="10" t="s">
        <v>666</v>
      </c>
      <c r="C859" s="10" t="s">
        <v>667</v>
      </c>
      <c r="D859" s="10" t="s">
        <v>866</v>
      </c>
      <c r="E859" s="10" t="str">
        <f>"644020240512232917171819"</f>
        <v>644020240512232917171819</v>
      </c>
      <c r="F859" s="9"/>
    </row>
    <row r="860" s="2" customFormat="1" ht="30" customHeight="1" spans="1:6">
      <c r="A860" s="9">
        <v>857</v>
      </c>
      <c r="B860" s="10" t="s">
        <v>666</v>
      </c>
      <c r="C860" s="10" t="s">
        <v>667</v>
      </c>
      <c r="D860" s="10" t="s">
        <v>867</v>
      </c>
      <c r="E860" s="10" t="str">
        <f>"644020240514093237178124"</f>
        <v>644020240514093237178124</v>
      </c>
      <c r="F860" s="9"/>
    </row>
    <row r="861" s="2" customFormat="1" ht="30" customHeight="1" spans="1:6">
      <c r="A861" s="9">
        <v>858</v>
      </c>
      <c r="B861" s="10" t="s">
        <v>666</v>
      </c>
      <c r="C861" s="10" t="s">
        <v>667</v>
      </c>
      <c r="D861" s="10" t="s">
        <v>868</v>
      </c>
      <c r="E861" s="10" t="str">
        <f>"644020240514104452178527"</f>
        <v>644020240514104452178527</v>
      </c>
      <c r="F861" s="9"/>
    </row>
    <row r="862" s="2" customFormat="1" ht="30" customHeight="1" spans="1:6">
      <c r="A862" s="9">
        <v>859</v>
      </c>
      <c r="B862" s="10" t="s">
        <v>666</v>
      </c>
      <c r="C862" s="10" t="s">
        <v>667</v>
      </c>
      <c r="D862" s="10" t="s">
        <v>869</v>
      </c>
      <c r="E862" s="10" t="str">
        <f>"644020240514103837178483"</f>
        <v>644020240514103837178483</v>
      </c>
      <c r="F862" s="9"/>
    </row>
    <row r="863" s="2" customFormat="1" ht="30" customHeight="1" spans="1:6">
      <c r="A863" s="9">
        <v>860</v>
      </c>
      <c r="B863" s="10" t="s">
        <v>666</v>
      </c>
      <c r="C863" s="10" t="s">
        <v>667</v>
      </c>
      <c r="D863" s="10" t="s">
        <v>870</v>
      </c>
      <c r="E863" s="10" t="str">
        <f>"644020240514104906178549"</f>
        <v>644020240514104906178549</v>
      </c>
      <c r="F863" s="9"/>
    </row>
    <row r="864" s="2" customFormat="1" ht="30" customHeight="1" spans="1:6">
      <c r="A864" s="9">
        <v>861</v>
      </c>
      <c r="B864" s="10" t="s">
        <v>666</v>
      </c>
      <c r="C864" s="10" t="s">
        <v>667</v>
      </c>
      <c r="D864" s="10" t="s">
        <v>871</v>
      </c>
      <c r="E864" s="10" t="str">
        <f>"644020240514002155177670"</f>
        <v>644020240514002155177670</v>
      </c>
      <c r="F864" s="9"/>
    </row>
    <row r="865" s="2" customFormat="1" ht="30" customHeight="1" spans="1:6">
      <c r="A865" s="9">
        <v>862</v>
      </c>
      <c r="B865" s="10" t="s">
        <v>666</v>
      </c>
      <c r="C865" s="10" t="s">
        <v>667</v>
      </c>
      <c r="D865" s="10" t="s">
        <v>872</v>
      </c>
      <c r="E865" s="10" t="str">
        <f>"644020240513160316175797"</f>
        <v>644020240513160316175797</v>
      </c>
      <c r="F865" s="9"/>
    </row>
    <row r="866" s="2" customFormat="1" ht="30" customHeight="1" spans="1:6">
      <c r="A866" s="9">
        <v>863</v>
      </c>
      <c r="B866" s="10" t="s">
        <v>666</v>
      </c>
      <c r="C866" s="10" t="s">
        <v>667</v>
      </c>
      <c r="D866" s="10" t="s">
        <v>873</v>
      </c>
      <c r="E866" s="10" t="str">
        <f>"644020240514102049178377"</f>
        <v>644020240514102049178377</v>
      </c>
      <c r="F866" s="9"/>
    </row>
    <row r="867" s="2" customFormat="1" ht="30" customHeight="1" spans="1:6">
      <c r="A867" s="9">
        <v>864</v>
      </c>
      <c r="B867" s="10" t="s">
        <v>666</v>
      </c>
      <c r="C867" s="10" t="s">
        <v>667</v>
      </c>
      <c r="D867" s="10" t="s">
        <v>874</v>
      </c>
      <c r="E867" s="10" t="str">
        <f>"644020240513223103177366"</f>
        <v>644020240513223103177366</v>
      </c>
      <c r="F867" s="9"/>
    </row>
    <row r="868" s="2" customFormat="1" ht="30" customHeight="1" spans="1:6">
      <c r="A868" s="9">
        <v>865</v>
      </c>
      <c r="B868" s="10" t="s">
        <v>666</v>
      </c>
      <c r="C868" s="10" t="s">
        <v>667</v>
      </c>
      <c r="D868" s="10" t="s">
        <v>875</v>
      </c>
      <c r="E868" s="10" t="str">
        <f>"644020240514113116178729"</f>
        <v>644020240514113116178729</v>
      </c>
      <c r="F868" s="9"/>
    </row>
    <row r="869" s="2" customFormat="1" ht="30" customHeight="1" spans="1:6">
      <c r="A869" s="9">
        <v>866</v>
      </c>
      <c r="B869" s="10" t="s">
        <v>666</v>
      </c>
      <c r="C869" s="10" t="s">
        <v>667</v>
      </c>
      <c r="D869" s="10" t="s">
        <v>876</v>
      </c>
      <c r="E869" s="10" t="str">
        <f>"644020240513105212173621"</f>
        <v>644020240513105212173621</v>
      </c>
      <c r="F869" s="9"/>
    </row>
    <row r="870" s="2" customFormat="1" ht="30" customHeight="1" spans="1:6">
      <c r="A870" s="9">
        <v>867</v>
      </c>
      <c r="B870" s="10" t="s">
        <v>666</v>
      </c>
      <c r="C870" s="10" t="s">
        <v>667</v>
      </c>
      <c r="D870" s="10" t="s">
        <v>877</v>
      </c>
      <c r="E870" s="10" t="str">
        <f>"644020240514093044178114"</f>
        <v>644020240514093044178114</v>
      </c>
      <c r="F870" s="9"/>
    </row>
    <row r="871" s="2" customFormat="1" ht="30" customHeight="1" spans="1:6">
      <c r="A871" s="9">
        <v>868</v>
      </c>
      <c r="B871" s="10" t="s">
        <v>666</v>
      </c>
      <c r="C871" s="10" t="s">
        <v>667</v>
      </c>
      <c r="D871" s="10" t="s">
        <v>878</v>
      </c>
      <c r="E871" s="10" t="str">
        <f>"644020240513093100172808"</f>
        <v>644020240513093100172808</v>
      </c>
      <c r="F871" s="9"/>
    </row>
    <row r="872" s="2" customFormat="1" ht="30" customHeight="1" spans="1:6">
      <c r="A872" s="9">
        <v>869</v>
      </c>
      <c r="B872" s="10" t="s">
        <v>666</v>
      </c>
      <c r="C872" s="10" t="s">
        <v>667</v>
      </c>
      <c r="D872" s="10" t="s">
        <v>879</v>
      </c>
      <c r="E872" s="10" t="str">
        <f>"644020240512091144168153"</f>
        <v>644020240512091144168153</v>
      </c>
      <c r="F872" s="9"/>
    </row>
    <row r="873" s="2" customFormat="1" ht="30" customHeight="1" spans="1:6">
      <c r="A873" s="9">
        <v>870</v>
      </c>
      <c r="B873" s="10" t="s">
        <v>666</v>
      </c>
      <c r="C873" s="10" t="s">
        <v>667</v>
      </c>
      <c r="D873" s="10" t="s">
        <v>880</v>
      </c>
      <c r="E873" s="10" t="str">
        <f>"644020240513121513174220"</f>
        <v>644020240513121513174220</v>
      </c>
      <c r="F873" s="9"/>
    </row>
    <row r="874" s="2" customFormat="1" ht="30" customHeight="1" spans="1:6">
      <c r="A874" s="9">
        <v>871</v>
      </c>
      <c r="B874" s="10" t="s">
        <v>666</v>
      </c>
      <c r="C874" s="10" t="s">
        <v>667</v>
      </c>
      <c r="D874" s="10" t="s">
        <v>881</v>
      </c>
      <c r="E874" s="10" t="str">
        <f>"644020240514090112177964"</f>
        <v>644020240514090112177964</v>
      </c>
      <c r="F874" s="9"/>
    </row>
    <row r="875" s="2" customFormat="1" ht="30" customHeight="1" spans="1:6">
      <c r="A875" s="9">
        <v>872</v>
      </c>
      <c r="B875" s="10" t="s">
        <v>666</v>
      </c>
      <c r="C875" s="10" t="s">
        <v>667</v>
      </c>
      <c r="D875" s="10" t="s">
        <v>882</v>
      </c>
      <c r="E875" s="10" t="str">
        <f>"644020240514120411178829"</f>
        <v>644020240514120411178829</v>
      </c>
      <c r="F875" s="9"/>
    </row>
    <row r="876" s="2" customFormat="1" ht="30" customHeight="1" spans="1:6">
      <c r="A876" s="9">
        <v>873</v>
      </c>
      <c r="B876" s="10" t="s">
        <v>666</v>
      </c>
      <c r="C876" s="10" t="s">
        <v>667</v>
      </c>
      <c r="D876" s="10" t="s">
        <v>883</v>
      </c>
      <c r="E876" s="10" t="str">
        <f>"644020240514123345178901"</f>
        <v>644020240514123345178901</v>
      </c>
      <c r="F876" s="9"/>
    </row>
    <row r="877" s="2" customFormat="1" ht="30" customHeight="1" spans="1:6">
      <c r="A877" s="9">
        <v>874</v>
      </c>
      <c r="B877" s="10" t="s">
        <v>666</v>
      </c>
      <c r="C877" s="10" t="s">
        <v>667</v>
      </c>
      <c r="D877" s="10" t="s">
        <v>884</v>
      </c>
      <c r="E877" s="10" t="str">
        <f>"644020240513134413174726"</f>
        <v>644020240513134413174726</v>
      </c>
      <c r="F877" s="9"/>
    </row>
    <row r="878" s="2" customFormat="1" ht="30" customHeight="1" spans="1:6">
      <c r="A878" s="9">
        <v>875</v>
      </c>
      <c r="B878" s="10" t="s">
        <v>666</v>
      </c>
      <c r="C878" s="10" t="s">
        <v>667</v>
      </c>
      <c r="D878" s="10" t="s">
        <v>885</v>
      </c>
      <c r="E878" s="10" t="str">
        <f>"644020240514125945178956"</f>
        <v>644020240514125945178956</v>
      </c>
      <c r="F878" s="9"/>
    </row>
    <row r="879" s="2" customFormat="1" ht="30" customHeight="1" spans="1:6">
      <c r="A879" s="9">
        <v>876</v>
      </c>
      <c r="B879" s="10" t="s">
        <v>666</v>
      </c>
      <c r="C879" s="10" t="s">
        <v>667</v>
      </c>
      <c r="D879" s="10" t="s">
        <v>886</v>
      </c>
      <c r="E879" s="10" t="str">
        <f>"644020240514132552179020"</f>
        <v>644020240514132552179020</v>
      </c>
      <c r="F879" s="9"/>
    </row>
    <row r="880" s="2" customFormat="1" ht="30" customHeight="1" spans="1:6">
      <c r="A880" s="9">
        <v>877</v>
      </c>
      <c r="B880" s="10" t="s">
        <v>666</v>
      </c>
      <c r="C880" s="10" t="s">
        <v>667</v>
      </c>
      <c r="D880" s="10" t="s">
        <v>887</v>
      </c>
      <c r="E880" s="10" t="str">
        <f>"644020240514133852179040"</f>
        <v>644020240514133852179040</v>
      </c>
      <c r="F880" s="9"/>
    </row>
    <row r="881" s="2" customFormat="1" ht="30" customHeight="1" spans="1:6">
      <c r="A881" s="9">
        <v>878</v>
      </c>
      <c r="B881" s="10" t="s">
        <v>666</v>
      </c>
      <c r="C881" s="10" t="s">
        <v>667</v>
      </c>
      <c r="D881" s="10" t="s">
        <v>888</v>
      </c>
      <c r="E881" s="10" t="str">
        <f>"644020240512152723169751"</f>
        <v>644020240512152723169751</v>
      </c>
      <c r="F881" s="9"/>
    </row>
    <row r="882" s="2" customFormat="1" ht="30" customHeight="1" spans="1:6">
      <c r="A882" s="9">
        <v>879</v>
      </c>
      <c r="B882" s="10" t="s">
        <v>666</v>
      </c>
      <c r="C882" s="10" t="s">
        <v>667</v>
      </c>
      <c r="D882" s="10" t="s">
        <v>889</v>
      </c>
      <c r="E882" s="10" t="str">
        <f>"644020240514141327179098"</f>
        <v>644020240514141327179098</v>
      </c>
      <c r="F882" s="9"/>
    </row>
    <row r="883" s="2" customFormat="1" ht="30" customHeight="1" spans="1:6">
      <c r="A883" s="9">
        <v>880</v>
      </c>
      <c r="B883" s="10" t="s">
        <v>666</v>
      </c>
      <c r="C883" s="10" t="s">
        <v>667</v>
      </c>
      <c r="D883" s="10" t="s">
        <v>890</v>
      </c>
      <c r="E883" s="10" t="str">
        <f>"644020240512091310168166"</f>
        <v>644020240512091310168166</v>
      </c>
      <c r="F883" s="9"/>
    </row>
    <row r="884" s="2" customFormat="1" ht="30" customHeight="1" spans="1:6">
      <c r="A884" s="9">
        <v>881</v>
      </c>
      <c r="B884" s="10" t="s">
        <v>666</v>
      </c>
      <c r="C884" s="10" t="s">
        <v>667</v>
      </c>
      <c r="D884" s="10" t="s">
        <v>891</v>
      </c>
      <c r="E884" s="10" t="str">
        <f>"644020240514141200179096"</f>
        <v>644020240514141200179096</v>
      </c>
      <c r="F884" s="9"/>
    </row>
    <row r="885" s="2" customFormat="1" ht="30" customHeight="1" spans="1:6">
      <c r="A885" s="9">
        <v>882</v>
      </c>
      <c r="B885" s="10" t="s">
        <v>666</v>
      </c>
      <c r="C885" s="10" t="s">
        <v>667</v>
      </c>
      <c r="D885" s="10" t="s">
        <v>892</v>
      </c>
      <c r="E885" s="10" t="str">
        <f>"644020240513154019175573"</f>
        <v>644020240513154019175573</v>
      </c>
      <c r="F885" s="9"/>
    </row>
    <row r="886" s="2" customFormat="1" ht="30" customHeight="1" spans="1:6">
      <c r="A886" s="9">
        <v>883</v>
      </c>
      <c r="B886" s="10" t="s">
        <v>666</v>
      </c>
      <c r="C886" s="10" t="s">
        <v>667</v>
      </c>
      <c r="D886" s="10" t="s">
        <v>893</v>
      </c>
      <c r="E886" s="10" t="str">
        <f>"644020240514001815177666"</f>
        <v>644020240514001815177666</v>
      </c>
      <c r="F886" s="9"/>
    </row>
    <row r="887" s="2" customFormat="1" ht="30" customHeight="1" spans="1:6">
      <c r="A887" s="9">
        <v>884</v>
      </c>
      <c r="B887" s="10" t="s">
        <v>666</v>
      </c>
      <c r="C887" s="10" t="s">
        <v>667</v>
      </c>
      <c r="D887" s="10" t="s">
        <v>894</v>
      </c>
      <c r="E887" s="10" t="str">
        <f>"644020240514154050179341"</f>
        <v>644020240514154050179341</v>
      </c>
      <c r="F887" s="9"/>
    </row>
    <row r="888" s="2" customFormat="1" ht="30" customHeight="1" spans="1:6">
      <c r="A888" s="9">
        <v>885</v>
      </c>
      <c r="B888" s="10" t="s">
        <v>666</v>
      </c>
      <c r="C888" s="10" t="s">
        <v>667</v>
      </c>
      <c r="D888" s="10" t="s">
        <v>895</v>
      </c>
      <c r="E888" s="10" t="str">
        <f>"644020240513191400176559"</f>
        <v>644020240513191400176559</v>
      </c>
      <c r="F888" s="9"/>
    </row>
    <row r="889" s="2" customFormat="1" ht="30" customHeight="1" spans="1:6">
      <c r="A889" s="9">
        <v>886</v>
      </c>
      <c r="B889" s="10" t="s">
        <v>666</v>
      </c>
      <c r="C889" s="10" t="s">
        <v>667</v>
      </c>
      <c r="D889" s="10" t="s">
        <v>896</v>
      </c>
      <c r="E889" s="10" t="str">
        <f>"644020240513172634176219"</f>
        <v>644020240513172634176219</v>
      </c>
      <c r="F889" s="9"/>
    </row>
    <row r="890" s="2" customFormat="1" ht="30" customHeight="1" spans="1:6">
      <c r="A890" s="9">
        <v>887</v>
      </c>
      <c r="B890" s="10" t="s">
        <v>666</v>
      </c>
      <c r="C890" s="10" t="s">
        <v>667</v>
      </c>
      <c r="D890" s="10" t="s">
        <v>897</v>
      </c>
      <c r="E890" s="10" t="str">
        <f>"644020240514140814179088"</f>
        <v>644020240514140814179088</v>
      </c>
      <c r="F890" s="9"/>
    </row>
    <row r="891" s="2" customFormat="1" ht="30" customHeight="1" spans="1:6">
      <c r="A891" s="9">
        <v>888</v>
      </c>
      <c r="B891" s="10" t="s">
        <v>666</v>
      </c>
      <c r="C891" s="10" t="s">
        <v>667</v>
      </c>
      <c r="D891" s="10" t="s">
        <v>898</v>
      </c>
      <c r="E891" s="10" t="str">
        <f>"644020240514153018179297"</f>
        <v>644020240514153018179297</v>
      </c>
      <c r="F891" s="9"/>
    </row>
    <row r="892" s="2" customFormat="1" ht="30" customHeight="1" spans="1:6">
      <c r="A892" s="9">
        <v>889</v>
      </c>
      <c r="B892" s="10" t="s">
        <v>666</v>
      </c>
      <c r="C892" s="10" t="s">
        <v>667</v>
      </c>
      <c r="D892" s="10" t="s">
        <v>899</v>
      </c>
      <c r="E892" s="10" t="str">
        <f>"644020240514155102179368"</f>
        <v>644020240514155102179368</v>
      </c>
      <c r="F892" s="9"/>
    </row>
    <row r="893" s="2" customFormat="1" ht="30" customHeight="1" spans="1:6">
      <c r="A893" s="9">
        <v>890</v>
      </c>
      <c r="B893" s="10" t="s">
        <v>666</v>
      </c>
      <c r="C893" s="10" t="s">
        <v>667</v>
      </c>
      <c r="D893" s="10" t="s">
        <v>900</v>
      </c>
      <c r="E893" s="10" t="str">
        <f>"644020240514153156179305"</f>
        <v>644020240514153156179305</v>
      </c>
      <c r="F893" s="9"/>
    </row>
    <row r="894" s="2" customFormat="1" ht="30" customHeight="1" spans="1:6">
      <c r="A894" s="9">
        <v>891</v>
      </c>
      <c r="B894" s="10" t="s">
        <v>666</v>
      </c>
      <c r="C894" s="10" t="s">
        <v>667</v>
      </c>
      <c r="D894" s="10" t="s">
        <v>901</v>
      </c>
      <c r="E894" s="10" t="str">
        <f>"644020240514113734178755"</f>
        <v>644020240514113734178755</v>
      </c>
      <c r="F894" s="9"/>
    </row>
    <row r="895" s="2" customFormat="1" ht="30" customHeight="1" spans="1:6">
      <c r="A895" s="9">
        <v>892</v>
      </c>
      <c r="B895" s="10" t="s">
        <v>666</v>
      </c>
      <c r="C895" s="10" t="s">
        <v>667</v>
      </c>
      <c r="D895" s="10" t="s">
        <v>902</v>
      </c>
      <c r="E895" s="10" t="str">
        <f>"644020240514162248179474"</f>
        <v>644020240514162248179474</v>
      </c>
      <c r="F895" s="9"/>
    </row>
    <row r="896" s="2" customFormat="1" ht="30" customHeight="1" spans="1:6">
      <c r="A896" s="9">
        <v>893</v>
      </c>
      <c r="B896" s="10" t="s">
        <v>666</v>
      </c>
      <c r="C896" s="10" t="s">
        <v>667</v>
      </c>
      <c r="D896" s="10" t="s">
        <v>903</v>
      </c>
      <c r="E896" s="10" t="str">
        <f>"644020240514164244179544"</f>
        <v>644020240514164244179544</v>
      </c>
      <c r="F896" s="9"/>
    </row>
    <row r="897" s="2" customFormat="1" ht="30" customHeight="1" spans="1:6">
      <c r="A897" s="9">
        <v>894</v>
      </c>
      <c r="B897" s="10" t="s">
        <v>666</v>
      </c>
      <c r="C897" s="10" t="s">
        <v>667</v>
      </c>
      <c r="D897" s="10" t="s">
        <v>904</v>
      </c>
      <c r="E897" s="10" t="str">
        <f>"644020240514165742179602"</f>
        <v>644020240514165742179602</v>
      </c>
      <c r="F897" s="9"/>
    </row>
    <row r="898" s="2" customFormat="1" ht="30" customHeight="1" spans="1:6">
      <c r="A898" s="9">
        <v>895</v>
      </c>
      <c r="B898" s="10" t="s">
        <v>666</v>
      </c>
      <c r="C898" s="10" t="s">
        <v>667</v>
      </c>
      <c r="D898" s="10" t="s">
        <v>905</v>
      </c>
      <c r="E898" s="10" t="str">
        <f>"644020240513173419176249"</f>
        <v>644020240513173419176249</v>
      </c>
      <c r="F898" s="9"/>
    </row>
    <row r="899" s="2" customFormat="1" ht="30" customHeight="1" spans="1:6">
      <c r="A899" s="9">
        <v>896</v>
      </c>
      <c r="B899" s="10" t="s">
        <v>666</v>
      </c>
      <c r="C899" s="10" t="s">
        <v>667</v>
      </c>
      <c r="D899" s="10" t="s">
        <v>906</v>
      </c>
      <c r="E899" s="10" t="str">
        <f>"644020240514140903179091"</f>
        <v>644020240514140903179091</v>
      </c>
      <c r="F899" s="9"/>
    </row>
    <row r="900" s="2" customFormat="1" ht="30" customHeight="1" spans="1:6">
      <c r="A900" s="9">
        <v>897</v>
      </c>
      <c r="B900" s="10" t="s">
        <v>666</v>
      </c>
      <c r="C900" s="10" t="s">
        <v>667</v>
      </c>
      <c r="D900" s="10" t="s">
        <v>907</v>
      </c>
      <c r="E900" s="10" t="str">
        <f>"644020240513221040177278"</f>
        <v>644020240513221040177278</v>
      </c>
      <c r="F900" s="9"/>
    </row>
    <row r="901" s="2" customFormat="1" ht="30" customHeight="1" spans="1:6">
      <c r="A901" s="9">
        <v>898</v>
      </c>
      <c r="B901" s="10" t="s">
        <v>666</v>
      </c>
      <c r="C901" s="10" t="s">
        <v>667</v>
      </c>
      <c r="D901" s="10" t="s">
        <v>908</v>
      </c>
      <c r="E901" s="10" t="str">
        <f>"644020240514173114179713"</f>
        <v>644020240514173114179713</v>
      </c>
      <c r="F901" s="9"/>
    </row>
    <row r="902" s="2" customFormat="1" ht="30" customHeight="1" spans="1:6">
      <c r="A902" s="9">
        <v>899</v>
      </c>
      <c r="B902" s="10" t="s">
        <v>666</v>
      </c>
      <c r="C902" s="10" t="s">
        <v>667</v>
      </c>
      <c r="D902" s="10" t="s">
        <v>909</v>
      </c>
      <c r="E902" s="10" t="str">
        <f>"644020240512145453169633"</f>
        <v>644020240512145453169633</v>
      </c>
      <c r="F902" s="9"/>
    </row>
    <row r="903" s="2" customFormat="1" ht="30" customHeight="1" spans="1:6">
      <c r="A903" s="9">
        <v>900</v>
      </c>
      <c r="B903" s="10" t="s">
        <v>666</v>
      </c>
      <c r="C903" s="10" t="s">
        <v>667</v>
      </c>
      <c r="D903" s="10" t="s">
        <v>910</v>
      </c>
      <c r="E903" s="10" t="str">
        <f>"644020240514183138179832"</f>
        <v>644020240514183138179832</v>
      </c>
      <c r="F903" s="9"/>
    </row>
    <row r="904" s="2" customFormat="1" ht="30" customHeight="1" spans="1:6">
      <c r="A904" s="9">
        <v>901</v>
      </c>
      <c r="B904" s="10" t="s">
        <v>666</v>
      </c>
      <c r="C904" s="10" t="s">
        <v>667</v>
      </c>
      <c r="D904" s="10" t="s">
        <v>911</v>
      </c>
      <c r="E904" s="10" t="str">
        <f>"644020240514145336179188"</f>
        <v>644020240514145336179188</v>
      </c>
      <c r="F904" s="9"/>
    </row>
    <row r="905" s="2" customFormat="1" ht="30" customHeight="1" spans="1:6">
      <c r="A905" s="9">
        <v>902</v>
      </c>
      <c r="B905" s="10" t="s">
        <v>666</v>
      </c>
      <c r="C905" s="10" t="s">
        <v>667</v>
      </c>
      <c r="D905" s="10" t="s">
        <v>912</v>
      </c>
      <c r="E905" s="10" t="str">
        <f>"644020240514181227179797"</f>
        <v>644020240514181227179797</v>
      </c>
      <c r="F905" s="9"/>
    </row>
    <row r="906" s="2" customFormat="1" ht="30" customHeight="1" spans="1:6">
      <c r="A906" s="9">
        <v>903</v>
      </c>
      <c r="B906" s="10" t="s">
        <v>666</v>
      </c>
      <c r="C906" s="10" t="s">
        <v>667</v>
      </c>
      <c r="D906" s="10" t="s">
        <v>913</v>
      </c>
      <c r="E906" s="10" t="str">
        <f>"644020240514184646179859"</f>
        <v>644020240514184646179859</v>
      </c>
      <c r="F906" s="9"/>
    </row>
    <row r="907" s="2" customFormat="1" ht="30" customHeight="1" spans="1:6">
      <c r="A907" s="9">
        <v>904</v>
      </c>
      <c r="B907" s="10" t="s">
        <v>666</v>
      </c>
      <c r="C907" s="10" t="s">
        <v>667</v>
      </c>
      <c r="D907" s="10" t="s">
        <v>914</v>
      </c>
      <c r="E907" s="10" t="str">
        <f>"644020240512205806170981"</f>
        <v>644020240512205806170981</v>
      </c>
      <c r="F907" s="9"/>
    </row>
    <row r="908" s="2" customFormat="1" ht="30" customHeight="1" spans="1:6">
      <c r="A908" s="9">
        <v>905</v>
      </c>
      <c r="B908" s="10" t="s">
        <v>666</v>
      </c>
      <c r="C908" s="10" t="s">
        <v>667</v>
      </c>
      <c r="D908" s="10" t="s">
        <v>915</v>
      </c>
      <c r="E908" s="10" t="str">
        <f>"644020240514185902179885"</f>
        <v>644020240514185902179885</v>
      </c>
      <c r="F908" s="9"/>
    </row>
    <row r="909" s="2" customFormat="1" ht="30" customHeight="1" spans="1:6">
      <c r="A909" s="9">
        <v>906</v>
      </c>
      <c r="B909" s="10" t="s">
        <v>666</v>
      </c>
      <c r="C909" s="10" t="s">
        <v>667</v>
      </c>
      <c r="D909" s="10" t="s">
        <v>916</v>
      </c>
      <c r="E909" s="10" t="str">
        <f>"644020240514191259179912"</f>
        <v>644020240514191259179912</v>
      </c>
      <c r="F909" s="9"/>
    </row>
    <row r="910" s="2" customFormat="1" ht="30" customHeight="1" spans="1:6">
      <c r="A910" s="9">
        <v>907</v>
      </c>
      <c r="B910" s="10" t="s">
        <v>666</v>
      </c>
      <c r="C910" s="10" t="s">
        <v>667</v>
      </c>
      <c r="D910" s="10" t="s">
        <v>917</v>
      </c>
      <c r="E910" s="10" t="str">
        <f>"644020240514193849179946"</f>
        <v>644020240514193849179946</v>
      </c>
      <c r="F910" s="9"/>
    </row>
    <row r="911" s="2" customFormat="1" ht="30" customHeight="1" spans="1:6">
      <c r="A911" s="9">
        <v>908</v>
      </c>
      <c r="B911" s="10" t="s">
        <v>666</v>
      </c>
      <c r="C911" s="10" t="s">
        <v>667</v>
      </c>
      <c r="D911" s="10" t="s">
        <v>918</v>
      </c>
      <c r="E911" s="10" t="str">
        <f>"644020240514185101179872"</f>
        <v>644020240514185101179872</v>
      </c>
      <c r="F911" s="9"/>
    </row>
    <row r="912" s="2" customFormat="1" ht="30" customHeight="1" spans="1:6">
      <c r="A912" s="9">
        <v>909</v>
      </c>
      <c r="B912" s="10" t="s">
        <v>666</v>
      </c>
      <c r="C912" s="10" t="s">
        <v>667</v>
      </c>
      <c r="D912" s="10" t="s">
        <v>919</v>
      </c>
      <c r="E912" s="10" t="str">
        <f>"644020240514131411178994"</f>
        <v>644020240514131411178994</v>
      </c>
      <c r="F912" s="9"/>
    </row>
    <row r="913" s="2" customFormat="1" ht="30" customHeight="1" spans="1:6">
      <c r="A913" s="9">
        <v>910</v>
      </c>
      <c r="B913" s="10" t="s">
        <v>666</v>
      </c>
      <c r="C913" s="10" t="s">
        <v>667</v>
      </c>
      <c r="D913" s="10" t="s">
        <v>920</v>
      </c>
      <c r="E913" s="10" t="str">
        <f>"644020240514200652179994"</f>
        <v>644020240514200652179994</v>
      </c>
      <c r="F913" s="9"/>
    </row>
    <row r="914" s="2" customFormat="1" ht="30" customHeight="1" spans="1:6">
      <c r="A914" s="9">
        <v>911</v>
      </c>
      <c r="B914" s="10" t="s">
        <v>666</v>
      </c>
      <c r="C914" s="10" t="s">
        <v>667</v>
      </c>
      <c r="D914" s="10" t="s">
        <v>921</v>
      </c>
      <c r="E914" s="10" t="str">
        <f>"644020240514201732180018"</f>
        <v>644020240514201732180018</v>
      </c>
      <c r="F914" s="9"/>
    </row>
    <row r="915" s="2" customFormat="1" ht="30" customHeight="1" spans="1:6">
      <c r="A915" s="9">
        <v>912</v>
      </c>
      <c r="B915" s="10" t="s">
        <v>666</v>
      </c>
      <c r="C915" s="10" t="s">
        <v>667</v>
      </c>
      <c r="D915" s="10" t="s">
        <v>922</v>
      </c>
      <c r="E915" s="10" t="str">
        <f>"644020240514200424179982"</f>
        <v>644020240514200424179982</v>
      </c>
      <c r="F915" s="9"/>
    </row>
    <row r="916" s="2" customFormat="1" ht="30" customHeight="1" spans="1:6">
      <c r="A916" s="9">
        <v>913</v>
      </c>
      <c r="B916" s="10" t="s">
        <v>666</v>
      </c>
      <c r="C916" s="10" t="s">
        <v>667</v>
      </c>
      <c r="D916" s="10" t="s">
        <v>923</v>
      </c>
      <c r="E916" s="10" t="str">
        <f>"644020240514193936179948"</f>
        <v>644020240514193936179948</v>
      </c>
      <c r="F916" s="9"/>
    </row>
    <row r="917" s="2" customFormat="1" ht="30" customHeight="1" spans="1:6">
      <c r="A917" s="9">
        <v>914</v>
      </c>
      <c r="B917" s="10" t="s">
        <v>666</v>
      </c>
      <c r="C917" s="10" t="s">
        <v>667</v>
      </c>
      <c r="D917" s="10" t="s">
        <v>924</v>
      </c>
      <c r="E917" s="10" t="str">
        <f>"644020240513075313172182"</f>
        <v>644020240513075313172182</v>
      </c>
      <c r="F917" s="9"/>
    </row>
    <row r="918" s="2" customFormat="1" ht="30" customHeight="1" spans="1:6">
      <c r="A918" s="9">
        <v>915</v>
      </c>
      <c r="B918" s="10" t="s">
        <v>666</v>
      </c>
      <c r="C918" s="10" t="s">
        <v>667</v>
      </c>
      <c r="D918" s="10" t="s">
        <v>925</v>
      </c>
      <c r="E918" s="10" t="str">
        <f>"644020240513164608176028"</f>
        <v>644020240513164608176028</v>
      </c>
      <c r="F918" s="9"/>
    </row>
    <row r="919" s="2" customFormat="1" ht="30" customHeight="1" spans="1:6">
      <c r="A919" s="9">
        <v>916</v>
      </c>
      <c r="B919" s="10" t="s">
        <v>666</v>
      </c>
      <c r="C919" s="10" t="s">
        <v>667</v>
      </c>
      <c r="D919" s="10" t="s">
        <v>926</v>
      </c>
      <c r="E919" s="10" t="str">
        <f>"644020240514210655180130"</f>
        <v>644020240514210655180130</v>
      </c>
      <c r="F919" s="9"/>
    </row>
    <row r="920" s="2" customFormat="1" ht="30" customHeight="1" spans="1:6">
      <c r="A920" s="9">
        <v>917</v>
      </c>
      <c r="B920" s="10" t="s">
        <v>666</v>
      </c>
      <c r="C920" s="10" t="s">
        <v>667</v>
      </c>
      <c r="D920" s="10" t="s">
        <v>927</v>
      </c>
      <c r="E920" s="10" t="str">
        <f>"644020240514212208180178"</f>
        <v>644020240514212208180178</v>
      </c>
      <c r="F920" s="9"/>
    </row>
    <row r="921" s="2" customFormat="1" ht="30" customHeight="1" spans="1:6">
      <c r="A921" s="9">
        <v>918</v>
      </c>
      <c r="B921" s="10" t="s">
        <v>666</v>
      </c>
      <c r="C921" s="10" t="s">
        <v>667</v>
      </c>
      <c r="D921" s="10" t="s">
        <v>928</v>
      </c>
      <c r="E921" s="10" t="str">
        <f>"644020240514212230180181"</f>
        <v>644020240514212230180181</v>
      </c>
      <c r="F921" s="9"/>
    </row>
    <row r="922" s="2" customFormat="1" ht="30" customHeight="1" spans="1:6">
      <c r="A922" s="9">
        <v>919</v>
      </c>
      <c r="B922" s="10" t="s">
        <v>666</v>
      </c>
      <c r="C922" s="10" t="s">
        <v>667</v>
      </c>
      <c r="D922" s="10" t="s">
        <v>929</v>
      </c>
      <c r="E922" s="10" t="str">
        <f>"644020240514212729180198"</f>
        <v>644020240514212729180198</v>
      </c>
      <c r="F922" s="9"/>
    </row>
    <row r="923" s="2" customFormat="1" ht="30" customHeight="1" spans="1:6">
      <c r="A923" s="9">
        <v>920</v>
      </c>
      <c r="B923" s="10" t="s">
        <v>666</v>
      </c>
      <c r="C923" s="10" t="s">
        <v>667</v>
      </c>
      <c r="D923" s="10" t="s">
        <v>930</v>
      </c>
      <c r="E923" s="10" t="str">
        <f>"644020240514211416180154"</f>
        <v>644020240514211416180154</v>
      </c>
      <c r="F923" s="9"/>
    </row>
    <row r="924" s="2" customFormat="1" ht="30" customHeight="1" spans="1:6">
      <c r="A924" s="9">
        <v>921</v>
      </c>
      <c r="B924" s="10" t="s">
        <v>666</v>
      </c>
      <c r="C924" s="10" t="s">
        <v>667</v>
      </c>
      <c r="D924" s="10" t="s">
        <v>931</v>
      </c>
      <c r="E924" s="10" t="str">
        <f>"644020240512204827170926"</f>
        <v>644020240512204827170926</v>
      </c>
      <c r="F924" s="9"/>
    </row>
    <row r="925" s="2" customFormat="1" ht="30" customHeight="1" spans="1:6">
      <c r="A925" s="9">
        <v>922</v>
      </c>
      <c r="B925" s="10" t="s">
        <v>666</v>
      </c>
      <c r="C925" s="10" t="s">
        <v>667</v>
      </c>
      <c r="D925" s="10" t="s">
        <v>932</v>
      </c>
      <c r="E925" s="10" t="str">
        <f>"644020240514214750180259"</f>
        <v>644020240514214750180259</v>
      </c>
      <c r="F925" s="9"/>
    </row>
    <row r="926" s="2" customFormat="1" ht="30" customHeight="1" spans="1:6">
      <c r="A926" s="9">
        <v>923</v>
      </c>
      <c r="B926" s="10" t="s">
        <v>666</v>
      </c>
      <c r="C926" s="10" t="s">
        <v>667</v>
      </c>
      <c r="D926" s="10" t="s">
        <v>933</v>
      </c>
      <c r="E926" s="10" t="str">
        <f>"644020240514212058180172"</f>
        <v>644020240514212058180172</v>
      </c>
      <c r="F926" s="9"/>
    </row>
    <row r="927" s="2" customFormat="1" ht="30" customHeight="1" spans="1:6">
      <c r="A927" s="9">
        <v>924</v>
      </c>
      <c r="B927" s="10" t="s">
        <v>666</v>
      </c>
      <c r="C927" s="10" t="s">
        <v>667</v>
      </c>
      <c r="D927" s="10" t="s">
        <v>934</v>
      </c>
      <c r="E927" s="10" t="str">
        <f>"644020240514213740180220"</f>
        <v>644020240514213740180220</v>
      </c>
      <c r="F927" s="9"/>
    </row>
    <row r="928" s="2" customFormat="1" ht="30" customHeight="1" spans="1:6">
      <c r="A928" s="9">
        <v>925</v>
      </c>
      <c r="B928" s="10" t="s">
        <v>666</v>
      </c>
      <c r="C928" s="10" t="s">
        <v>667</v>
      </c>
      <c r="D928" s="10" t="s">
        <v>935</v>
      </c>
      <c r="E928" s="10" t="str">
        <f>"644020240514221754180345"</f>
        <v>644020240514221754180345</v>
      </c>
      <c r="F928" s="9"/>
    </row>
    <row r="929" s="2" customFormat="1" ht="30" customHeight="1" spans="1:6">
      <c r="A929" s="9">
        <v>926</v>
      </c>
      <c r="B929" s="10" t="s">
        <v>666</v>
      </c>
      <c r="C929" s="10" t="s">
        <v>667</v>
      </c>
      <c r="D929" s="10" t="s">
        <v>936</v>
      </c>
      <c r="E929" s="10" t="str">
        <f>"644020240512101813168485"</f>
        <v>644020240512101813168485</v>
      </c>
      <c r="F929" s="9"/>
    </row>
    <row r="930" s="2" customFormat="1" ht="30" customHeight="1" spans="1:6">
      <c r="A930" s="9">
        <v>927</v>
      </c>
      <c r="B930" s="10" t="s">
        <v>666</v>
      </c>
      <c r="C930" s="10" t="s">
        <v>667</v>
      </c>
      <c r="D930" s="10" t="s">
        <v>937</v>
      </c>
      <c r="E930" s="10" t="str">
        <f>"644020240512161512169938"</f>
        <v>644020240512161512169938</v>
      </c>
      <c r="F930" s="9"/>
    </row>
    <row r="931" s="2" customFormat="1" ht="30" customHeight="1" spans="1:6">
      <c r="A931" s="9">
        <v>928</v>
      </c>
      <c r="B931" s="10" t="s">
        <v>666</v>
      </c>
      <c r="C931" s="10" t="s">
        <v>667</v>
      </c>
      <c r="D931" s="10" t="s">
        <v>938</v>
      </c>
      <c r="E931" s="10" t="str">
        <f>"644020240514205832180106"</f>
        <v>644020240514205832180106</v>
      </c>
      <c r="F931" s="9"/>
    </row>
    <row r="932" s="2" customFormat="1" ht="30" customHeight="1" spans="1:6">
      <c r="A932" s="9">
        <v>929</v>
      </c>
      <c r="B932" s="10" t="s">
        <v>666</v>
      </c>
      <c r="C932" s="10" t="s">
        <v>667</v>
      </c>
      <c r="D932" s="10" t="s">
        <v>939</v>
      </c>
      <c r="E932" s="10" t="str">
        <f>"644020240513150836175262"</f>
        <v>644020240513150836175262</v>
      </c>
      <c r="F932" s="9"/>
    </row>
    <row r="933" s="2" customFormat="1" ht="30" customHeight="1" spans="1:6">
      <c r="A933" s="9">
        <v>930</v>
      </c>
      <c r="B933" s="10" t="s">
        <v>666</v>
      </c>
      <c r="C933" s="10" t="s">
        <v>667</v>
      </c>
      <c r="D933" s="10" t="s">
        <v>940</v>
      </c>
      <c r="E933" s="10" t="str">
        <f>"644020240514180000179779"</f>
        <v>644020240514180000179779</v>
      </c>
      <c r="F933" s="9"/>
    </row>
    <row r="934" s="2" customFormat="1" ht="30" customHeight="1" spans="1:6">
      <c r="A934" s="9">
        <v>931</v>
      </c>
      <c r="B934" s="10" t="s">
        <v>666</v>
      </c>
      <c r="C934" s="10" t="s">
        <v>667</v>
      </c>
      <c r="D934" s="10" t="s">
        <v>941</v>
      </c>
      <c r="E934" s="10" t="str">
        <f>"644020240513233442177592"</f>
        <v>644020240513233442177592</v>
      </c>
      <c r="F934" s="9"/>
    </row>
    <row r="935" s="2" customFormat="1" ht="30" customHeight="1" spans="1:6">
      <c r="A935" s="9">
        <v>932</v>
      </c>
      <c r="B935" s="10" t="s">
        <v>666</v>
      </c>
      <c r="C935" s="10" t="s">
        <v>667</v>
      </c>
      <c r="D935" s="10" t="s">
        <v>942</v>
      </c>
      <c r="E935" s="10" t="str">
        <f>"644020240514234150180543"</f>
        <v>644020240514234150180543</v>
      </c>
      <c r="F935" s="9"/>
    </row>
    <row r="936" s="2" customFormat="1" ht="30" customHeight="1" spans="1:6">
      <c r="A936" s="9">
        <v>933</v>
      </c>
      <c r="B936" s="10" t="s">
        <v>666</v>
      </c>
      <c r="C936" s="10" t="s">
        <v>667</v>
      </c>
      <c r="D936" s="10" t="s">
        <v>943</v>
      </c>
      <c r="E936" s="10" t="str">
        <f>"644020240515001035180577"</f>
        <v>644020240515001035180577</v>
      </c>
      <c r="F936" s="9"/>
    </row>
    <row r="937" s="2" customFormat="1" ht="30" customHeight="1" spans="1:6">
      <c r="A937" s="9">
        <v>934</v>
      </c>
      <c r="B937" s="10" t="s">
        <v>666</v>
      </c>
      <c r="C937" s="10" t="s">
        <v>667</v>
      </c>
      <c r="D937" s="10" t="s">
        <v>944</v>
      </c>
      <c r="E937" s="10" t="str">
        <f>"644020240514233934180538"</f>
        <v>644020240514233934180538</v>
      </c>
      <c r="F937" s="9"/>
    </row>
    <row r="938" s="2" customFormat="1" ht="30" customHeight="1" spans="1:6">
      <c r="A938" s="9">
        <v>935</v>
      </c>
      <c r="B938" s="10" t="s">
        <v>666</v>
      </c>
      <c r="C938" s="10" t="s">
        <v>667</v>
      </c>
      <c r="D938" s="10" t="s">
        <v>945</v>
      </c>
      <c r="E938" s="10" t="str">
        <f>"644020240514224042180413"</f>
        <v>644020240514224042180413</v>
      </c>
      <c r="F938" s="9"/>
    </row>
    <row r="939" s="2" customFormat="1" ht="30" customHeight="1" spans="1:6">
      <c r="A939" s="9">
        <v>936</v>
      </c>
      <c r="B939" s="10" t="s">
        <v>666</v>
      </c>
      <c r="C939" s="10" t="s">
        <v>667</v>
      </c>
      <c r="D939" s="10" t="s">
        <v>946</v>
      </c>
      <c r="E939" s="10" t="str">
        <f>"644020240514234012180539"</f>
        <v>644020240514234012180539</v>
      </c>
      <c r="F939" s="9"/>
    </row>
    <row r="940" s="2" customFormat="1" ht="30" customHeight="1" spans="1:6">
      <c r="A940" s="9">
        <v>937</v>
      </c>
      <c r="B940" s="10" t="s">
        <v>666</v>
      </c>
      <c r="C940" s="10" t="s">
        <v>667</v>
      </c>
      <c r="D940" s="10" t="s">
        <v>947</v>
      </c>
      <c r="E940" s="10" t="str">
        <f>"644020240513171524176165"</f>
        <v>644020240513171524176165</v>
      </c>
      <c r="F940" s="9"/>
    </row>
    <row r="941" s="2" customFormat="1" ht="30" customHeight="1" spans="1:6">
      <c r="A941" s="9">
        <v>938</v>
      </c>
      <c r="B941" s="10" t="s">
        <v>666</v>
      </c>
      <c r="C941" s="10" t="s">
        <v>667</v>
      </c>
      <c r="D941" s="10" t="s">
        <v>948</v>
      </c>
      <c r="E941" s="10" t="str">
        <f>"644020240514174934179754"</f>
        <v>644020240514174934179754</v>
      </c>
      <c r="F941" s="9"/>
    </row>
    <row r="942" s="2" customFormat="1" ht="30" customHeight="1" spans="1:6">
      <c r="A942" s="9">
        <v>939</v>
      </c>
      <c r="B942" s="10" t="s">
        <v>666</v>
      </c>
      <c r="C942" s="10" t="s">
        <v>667</v>
      </c>
      <c r="D942" s="10" t="s">
        <v>949</v>
      </c>
      <c r="E942" s="10" t="str">
        <f>"644020240513084709172399"</f>
        <v>644020240513084709172399</v>
      </c>
      <c r="F942" s="9"/>
    </row>
    <row r="943" s="2" customFormat="1" ht="30" customHeight="1" spans="1:6">
      <c r="A943" s="9">
        <v>940</v>
      </c>
      <c r="B943" s="10" t="s">
        <v>666</v>
      </c>
      <c r="C943" s="10" t="s">
        <v>667</v>
      </c>
      <c r="D943" s="10" t="s">
        <v>950</v>
      </c>
      <c r="E943" s="10" t="str">
        <f>"644020240514213014180208"</f>
        <v>644020240514213014180208</v>
      </c>
      <c r="F943" s="9"/>
    </row>
    <row r="944" s="2" customFormat="1" ht="30" customHeight="1" spans="1:6">
      <c r="A944" s="9">
        <v>941</v>
      </c>
      <c r="B944" s="10" t="s">
        <v>666</v>
      </c>
      <c r="C944" s="10" t="s">
        <v>667</v>
      </c>
      <c r="D944" s="10" t="s">
        <v>951</v>
      </c>
      <c r="E944" s="10" t="str">
        <f>"644020240515082912180695"</f>
        <v>644020240515082912180695</v>
      </c>
      <c r="F944" s="9"/>
    </row>
    <row r="945" s="2" customFormat="1" ht="30" customHeight="1" spans="1:6">
      <c r="A945" s="9">
        <v>942</v>
      </c>
      <c r="B945" s="10" t="s">
        <v>666</v>
      </c>
      <c r="C945" s="10" t="s">
        <v>667</v>
      </c>
      <c r="D945" s="10" t="s">
        <v>952</v>
      </c>
      <c r="E945" s="10" t="str">
        <f>"644020240515072356180647"</f>
        <v>644020240515072356180647</v>
      </c>
      <c r="F945" s="9"/>
    </row>
    <row r="946" s="2" customFormat="1" ht="30" customHeight="1" spans="1:6">
      <c r="A946" s="9">
        <v>943</v>
      </c>
      <c r="B946" s="10" t="s">
        <v>666</v>
      </c>
      <c r="C946" s="10" t="s">
        <v>667</v>
      </c>
      <c r="D946" s="10" t="s">
        <v>953</v>
      </c>
      <c r="E946" s="10" t="str">
        <f>"644020240515091415180805"</f>
        <v>644020240515091415180805</v>
      </c>
      <c r="F946" s="9"/>
    </row>
    <row r="947" s="2" customFormat="1" ht="30" customHeight="1" spans="1:6">
      <c r="A947" s="9">
        <v>944</v>
      </c>
      <c r="B947" s="10" t="s">
        <v>666</v>
      </c>
      <c r="C947" s="10" t="s">
        <v>667</v>
      </c>
      <c r="D947" s="10" t="s">
        <v>954</v>
      </c>
      <c r="E947" s="10" t="str">
        <f>"644020240512192420170584"</f>
        <v>644020240512192420170584</v>
      </c>
      <c r="F947" s="9"/>
    </row>
    <row r="948" s="2" customFormat="1" ht="30" customHeight="1" spans="1:6">
      <c r="A948" s="9">
        <v>945</v>
      </c>
      <c r="B948" s="10" t="s">
        <v>666</v>
      </c>
      <c r="C948" s="10" t="s">
        <v>667</v>
      </c>
      <c r="D948" s="10" t="s">
        <v>955</v>
      </c>
      <c r="E948" s="10" t="str">
        <f>"644020240515092252180827"</f>
        <v>644020240515092252180827</v>
      </c>
      <c r="F948" s="9"/>
    </row>
    <row r="949" s="2" customFormat="1" ht="30" customHeight="1" spans="1:6">
      <c r="A949" s="9">
        <v>946</v>
      </c>
      <c r="B949" s="10" t="s">
        <v>666</v>
      </c>
      <c r="C949" s="10" t="s">
        <v>667</v>
      </c>
      <c r="D949" s="10" t="s">
        <v>956</v>
      </c>
      <c r="E949" s="10" t="str">
        <f>"644020240514070514177776"</f>
        <v>644020240514070514177776</v>
      </c>
      <c r="F949" s="9"/>
    </row>
    <row r="950" s="2" customFormat="1" ht="30" customHeight="1" spans="1:6">
      <c r="A950" s="9">
        <v>947</v>
      </c>
      <c r="B950" s="10" t="s">
        <v>666</v>
      </c>
      <c r="C950" s="10" t="s">
        <v>667</v>
      </c>
      <c r="D950" s="10" t="s">
        <v>957</v>
      </c>
      <c r="E950" s="10" t="str">
        <f>"644020240514153851179335"</f>
        <v>644020240514153851179335</v>
      </c>
      <c r="F950" s="9"/>
    </row>
    <row r="951" s="2" customFormat="1" ht="30" customHeight="1" spans="1:6">
      <c r="A951" s="9">
        <v>948</v>
      </c>
      <c r="B951" s="10" t="s">
        <v>666</v>
      </c>
      <c r="C951" s="10" t="s">
        <v>667</v>
      </c>
      <c r="D951" s="10" t="s">
        <v>958</v>
      </c>
      <c r="E951" s="10" t="str">
        <f>"644020240513112758173945"</f>
        <v>644020240513112758173945</v>
      </c>
      <c r="F951" s="9"/>
    </row>
    <row r="952" s="2" customFormat="1" ht="30" customHeight="1" spans="1:6">
      <c r="A952" s="9">
        <v>949</v>
      </c>
      <c r="B952" s="10" t="s">
        <v>666</v>
      </c>
      <c r="C952" s="10" t="s">
        <v>667</v>
      </c>
      <c r="D952" s="10" t="s">
        <v>959</v>
      </c>
      <c r="E952" s="10" t="str">
        <f>"644020240515102012181005"</f>
        <v>644020240515102012181005</v>
      </c>
      <c r="F952" s="9"/>
    </row>
    <row r="953" s="2" customFormat="1" ht="30" customHeight="1" spans="1:6">
      <c r="A953" s="9">
        <v>950</v>
      </c>
      <c r="B953" s="10" t="s">
        <v>666</v>
      </c>
      <c r="C953" s="10" t="s">
        <v>667</v>
      </c>
      <c r="D953" s="10" t="s">
        <v>960</v>
      </c>
      <c r="E953" s="10" t="str">
        <f>"644020240515103248181058"</f>
        <v>644020240515103248181058</v>
      </c>
      <c r="F953" s="9"/>
    </row>
    <row r="954" s="2" customFormat="1" ht="30" customHeight="1" spans="1:6">
      <c r="A954" s="9">
        <v>951</v>
      </c>
      <c r="B954" s="10" t="s">
        <v>666</v>
      </c>
      <c r="C954" s="10" t="s">
        <v>667</v>
      </c>
      <c r="D954" s="10" t="s">
        <v>961</v>
      </c>
      <c r="E954" s="10" t="str">
        <f>"644020240514205213180084"</f>
        <v>644020240514205213180084</v>
      </c>
      <c r="F954" s="9"/>
    </row>
    <row r="955" s="2" customFormat="1" ht="30" customHeight="1" spans="1:6">
      <c r="A955" s="9">
        <v>952</v>
      </c>
      <c r="B955" s="10" t="s">
        <v>666</v>
      </c>
      <c r="C955" s="10" t="s">
        <v>667</v>
      </c>
      <c r="D955" s="10" t="s">
        <v>962</v>
      </c>
      <c r="E955" s="10" t="str">
        <f>"644020240514100216178280"</f>
        <v>644020240514100216178280</v>
      </c>
      <c r="F955" s="9"/>
    </row>
    <row r="956" s="2" customFormat="1" ht="30" customHeight="1" spans="1:6">
      <c r="A956" s="9">
        <v>953</v>
      </c>
      <c r="B956" s="10" t="s">
        <v>666</v>
      </c>
      <c r="C956" s="10" t="s">
        <v>667</v>
      </c>
      <c r="D956" s="10" t="s">
        <v>963</v>
      </c>
      <c r="E956" s="10" t="str">
        <f>"644020240512120106169012"</f>
        <v>644020240512120106169012</v>
      </c>
      <c r="F956" s="9"/>
    </row>
    <row r="957" s="2" customFormat="1" ht="30" customHeight="1" spans="1:6">
      <c r="A957" s="9">
        <v>954</v>
      </c>
      <c r="B957" s="10" t="s">
        <v>666</v>
      </c>
      <c r="C957" s="10" t="s">
        <v>667</v>
      </c>
      <c r="D957" s="10" t="s">
        <v>964</v>
      </c>
      <c r="E957" s="10" t="str">
        <f>"644020240515090108180764"</f>
        <v>644020240515090108180764</v>
      </c>
      <c r="F957" s="9"/>
    </row>
    <row r="958" s="2" customFormat="1" ht="30" customHeight="1" spans="1:6">
      <c r="A958" s="9">
        <v>955</v>
      </c>
      <c r="B958" s="10" t="s">
        <v>666</v>
      </c>
      <c r="C958" s="10" t="s">
        <v>667</v>
      </c>
      <c r="D958" s="10" t="s">
        <v>965</v>
      </c>
      <c r="E958" s="10" t="str">
        <f>"644020240515095354180929"</f>
        <v>644020240515095354180929</v>
      </c>
      <c r="F958" s="9"/>
    </row>
    <row r="959" s="2" customFormat="1" ht="30" customHeight="1" spans="1:6">
      <c r="A959" s="9">
        <v>956</v>
      </c>
      <c r="B959" s="10" t="s">
        <v>666</v>
      </c>
      <c r="C959" s="10" t="s">
        <v>667</v>
      </c>
      <c r="D959" s="10" t="s">
        <v>966</v>
      </c>
      <c r="E959" s="10" t="str">
        <f>"644020240515113749181266"</f>
        <v>644020240515113749181266</v>
      </c>
      <c r="F959" s="9"/>
    </row>
    <row r="960" s="2" customFormat="1" ht="30" customHeight="1" spans="1:6">
      <c r="A960" s="9">
        <v>957</v>
      </c>
      <c r="B960" s="10" t="s">
        <v>666</v>
      </c>
      <c r="C960" s="10" t="s">
        <v>667</v>
      </c>
      <c r="D960" s="10" t="s">
        <v>967</v>
      </c>
      <c r="E960" s="10" t="str">
        <f>"644020240515082833180693"</f>
        <v>644020240515082833180693</v>
      </c>
      <c r="F960" s="9"/>
    </row>
    <row r="961" s="2" customFormat="1" ht="30" customHeight="1" spans="1:6">
      <c r="A961" s="9">
        <v>958</v>
      </c>
      <c r="B961" s="10" t="s">
        <v>666</v>
      </c>
      <c r="C961" s="10" t="s">
        <v>667</v>
      </c>
      <c r="D961" s="10" t="s">
        <v>968</v>
      </c>
      <c r="E961" s="10" t="str">
        <f>"644020240515120231181324"</f>
        <v>644020240515120231181324</v>
      </c>
      <c r="F961" s="9"/>
    </row>
    <row r="962" s="2" customFormat="1" ht="30" customHeight="1" spans="1:6">
      <c r="A962" s="9">
        <v>959</v>
      </c>
      <c r="B962" s="10" t="s">
        <v>666</v>
      </c>
      <c r="C962" s="10" t="s">
        <v>667</v>
      </c>
      <c r="D962" s="10" t="s">
        <v>969</v>
      </c>
      <c r="E962" s="10" t="str">
        <f>"644020240515121739181355"</f>
        <v>644020240515121739181355</v>
      </c>
      <c r="F962" s="9"/>
    </row>
    <row r="963" s="2" customFormat="1" ht="30" customHeight="1" spans="1:6">
      <c r="A963" s="9">
        <v>960</v>
      </c>
      <c r="B963" s="10" t="s">
        <v>666</v>
      </c>
      <c r="C963" s="10" t="s">
        <v>667</v>
      </c>
      <c r="D963" s="10" t="s">
        <v>970</v>
      </c>
      <c r="E963" s="10" t="str">
        <f>"644020240515084620180732"</f>
        <v>644020240515084620180732</v>
      </c>
      <c r="F963" s="9"/>
    </row>
    <row r="964" s="2" customFormat="1" ht="30" customHeight="1" spans="1:6">
      <c r="A964" s="9">
        <v>961</v>
      </c>
      <c r="B964" s="10" t="s">
        <v>666</v>
      </c>
      <c r="C964" s="10" t="s">
        <v>667</v>
      </c>
      <c r="D964" s="10" t="s">
        <v>971</v>
      </c>
      <c r="E964" s="10" t="str">
        <f>"644020240514200220179968"</f>
        <v>644020240514200220179968</v>
      </c>
      <c r="F964" s="9"/>
    </row>
    <row r="965" s="2" customFormat="1" ht="30" customHeight="1" spans="1:6">
      <c r="A965" s="9">
        <v>962</v>
      </c>
      <c r="B965" s="10" t="s">
        <v>666</v>
      </c>
      <c r="C965" s="10" t="s">
        <v>667</v>
      </c>
      <c r="D965" s="10" t="s">
        <v>972</v>
      </c>
      <c r="E965" s="10" t="str">
        <f>"644020240512221123171396"</f>
        <v>644020240512221123171396</v>
      </c>
      <c r="F965" s="9"/>
    </row>
    <row r="966" s="2" customFormat="1" ht="30" customHeight="1" spans="1:6">
      <c r="A966" s="9">
        <v>963</v>
      </c>
      <c r="B966" s="10" t="s">
        <v>666</v>
      </c>
      <c r="C966" s="10" t="s">
        <v>667</v>
      </c>
      <c r="D966" s="10" t="s">
        <v>973</v>
      </c>
      <c r="E966" s="10" t="str">
        <f>"644020240515124436181395"</f>
        <v>644020240515124436181395</v>
      </c>
      <c r="F966" s="9"/>
    </row>
    <row r="967" s="2" customFormat="1" ht="30" customHeight="1" spans="1:6">
      <c r="A967" s="9">
        <v>964</v>
      </c>
      <c r="B967" s="10" t="s">
        <v>666</v>
      </c>
      <c r="C967" s="10" t="s">
        <v>667</v>
      </c>
      <c r="D967" s="10" t="s">
        <v>974</v>
      </c>
      <c r="E967" s="10" t="str">
        <f>"644020240515131613181446"</f>
        <v>644020240515131613181446</v>
      </c>
      <c r="F967" s="9"/>
    </row>
    <row r="968" s="2" customFormat="1" ht="30" customHeight="1" spans="1:6">
      <c r="A968" s="9">
        <v>965</v>
      </c>
      <c r="B968" s="10" t="s">
        <v>666</v>
      </c>
      <c r="C968" s="10" t="s">
        <v>667</v>
      </c>
      <c r="D968" s="10" t="s">
        <v>975</v>
      </c>
      <c r="E968" s="10" t="str">
        <f>"644020240514153458179321"</f>
        <v>644020240514153458179321</v>
      </c>
      <c r="F968" s="9"/>
    </row>
    <row r="969" s="2" customFormat="1" ht="30" customHeight="1" spans="1:6">
      <c r="A969" s="9">
        <v>966</v>
      </c>
      <c r="B969" s="10" t="s">
        <v>666</v>
      </c>
      <c r="C969" s="10" t="s">
        <v>667</v>
      </c>
      <c r="D969" s="10" t="s">
        <v>976</v>
      </c>
      <c r="E969" s="10" t="str">
        <f>"644020240512164248170049"</f>
        <v>644020240512164248170049</v>
      </c>
      <c r="F969" s="9"/>
    </row>
    <row r="970" s="2" customFormat="1" ht="30" customHeight="1" spans="1:6">
      <c r="A970" s="9">
        <v>967</v>
      </c>
      <c r="B970" s="10" t="s">
        <v>666</v>
      </c>
      <c r="C970" s="10" t="s">
        <v>667</v>
      </c>
      <c r="D970" s="10" t="s">
        <v>977</v>
      </c>
      <c r="E970" s="10" t="str">
        <f>"644020240514152040179267"</f>
        <v>644020240514152040179267</v>
      </c>
      <c r="F970" s="9"/>
    </row>
    <row r="971" s="2" customFormat="1" ht="30" customHeight="1" spans="1:6">
      <c r="A971" s="9">
        <v>968</v>
      </c>
      <c r="B971" s="10" t="s">
        <v>666</v>
      </c>
      <c r="C971" s="10" t="s">
        <v>667</v>
      </c>
      <c r="D971" s="10" t="s">
        <v>978</v>
      </c>
      <c r="E971" s="10" t="str">
        <f>"644020240513185011176479"</f>
        <v>644020240513185011176479</v>
      </c>
      <c r="F971" s="9"/>
    </row>
    <row r="972" s="2" customFormat="1" ht="30" customHeight="1" spans="1:6">
      <c r="A972" s="9">
        <v>969</v>
      </c>
      <c r="B972" s="10" t="s">
        <v>666</v>
      </c>
      <c r="C972" s="10" t="s">
        <v>667</v>
      </c>
      <c r="D972" s="10" t="s">
        <v>979</v>
      </c>
      <c r="E972" s="10" t="str">
        <f>"644020240515124335181392"</f>
        <v>644020240515124335181392</v>
      </c>
      <c r="F972" s="9"/>
    </row>
    <row r="973" s="2" customFormat="1" ht="30" customHeight="1" spans="1:6">
      <c r="A973" s="9">
        <v>970</v>
      </c>
      <c r="B973" s="10" t="s">
        <v>666</v>
      </c>
      <c r="C973" s="10" t="s">
        <v>667</v>
      </c>
      <c r="D973" s="10" t="s">
        <v>980</v>
      </c>
      <c r="E973" s="10" t="str">
        <f>"644020240515142111181547"</f>
        <v>644020240515142111181547</v>
      </c>
      <c r="F973" s="9"/>
    </row>
    <row r="974" s="2" customFormat="1" ht="30" customHeight="1" spans="1:6">
      <c r="A974" s="9">
        <v>971</v>
      </c>
      <c r="B974" s="10" t="s">
        <v>666</v>
      </c>
      <c r="C974" s="10" t="s">
        <v>667</v>
      </c>
      <c r="D974" s="10" t="s">
        <v>981</v>
      </c>
      <c r="E974" s="10" t="str">
        <f>"644020240515143613181571"</f>
        <v>644020240515143613181571</v>
      </c>
      <c r="F974" s="9"/>
    </row>
    <row r="975" s="2" customFormat="1" ht="30" customHeight="1" spans="1:6">
      <c r="A975" s="9">
        <v>972</v>
      </c>
      <c r="B975" s="10" t="s">
        <v>666</v>
      </c>
      <c r="C975" s="10" t="s">
        <v>667</v>
      </c>
      <c r="D975" s="10" t="s">
        <v>982</v>
      </c>
      <c r="E975" s="10" t="str">
        <f>"644020240514152748179284"</f>
        <v>644020240514152748179284</v>
      </c>
      <c r="F975" s="9"/>
    </row>
    <row r="976" s="2" customFormat="1" ht="30" customHeight="1" spans="1:6">
      <c r="A976" s="9">
        <v>973</v>
      </c>
      <c r="B976" s="10" t="s">
        <v>666</v>
      </c>
      <c r="C976" s="10" t="s">
        <v>667</v>
      </c>
      <c r="D976" s="10" t="s">
        <v>983</v>
      </c>
      <c r="E976" s="10" t="str">
        <f>"644020240513181456176387"</f>
        <v>644020240513181456176387</v>
      </c>
      <c r="F976" s="9"/>
    </row>
    <row r="977" s="2" customFormat="1" ht="30" customHeight="1" spans="1:6">
      <c r="A977" s="9">
        <v>974</v>
      </c>
      <c r="B977" s="10" t="s">
        <v>666</v>
      </c>
      <c r="C977" s="10" t="s">
        <v>667</v>
      </c>
      <c r="D977" s="10" t="s">
        <v>984</v>
      </c>
      <c r="E977" s="10" t="str">
        <f>"644020240514184739179860"</f>
        <v>644020240514184739179860</v>
      </c>
      <c r="F977" s="9"/>
    </row>
    <row r="978" s="2" customFormat="1" ht="30" customHeight="1" spans="1:6">
      <c r="A978" s="9">
        <v>975</v>
      </c>
      <c r="B978" s="10" t="s">
        <v>666</v>
      </c>
      <c r="C978" s="10" t="s">
        <v>667</v>
      </c>
      <c r="D978" s="10" t="s">
        <v>985</v>
      </c>
      <c r="E978" s="10" t="str">
        <f>"644020240515151452181649"</f>
        <v>644020240515151452181649</v>
      </c>
      <c r="F978" s="9"/>
    </row>
    <row r="979" s="2" customFormat="1" ht="30" customHeight="1" spans="1:6">
      <c r="A979" s="9">
        <v>976</v>
      </c>
      <c r="B979" s="10" t="s">
        <v>666</v>
      </c>
      <c r="C979" s="10" t="s">
        <v>667</v>
      </c>
      <c r="D979" s="10" t="s">
        <v>986</v>
      </c>
      <c r="E979" s="10" t="str">
        <f>"644020240515130842181431"</f>
        <v>644020240515130842181431</v>
      </c>
      <c r="F979" s="9"/>
    </row>
    <row r="980" s="2" customFormat="1" ht="30" customHeight="1" spans="1:6">
      <c r="A980" s="9">
        <v>977</v>
      </c>
      <c r="B980" s="10" t="s">
        <v>666</v>
      </c>
      <c r="C980" s="10" t="s">
        <v>667</v>
      </c>
      <c r="D980" s="10" t="s">
        <v>987</v>
      </c>
      <c r="E980" s="10" t="str">
        <f>"644020240515164009181892"</f>
        <v>644020240515164009181892</v>
      </c>
      <c r="F980" s="9"/>
    </row>
    <row r="981" s="2" customFormat="1" ht="30" customHeight="1" spans="1:6">
      <c r="A981" s="9">
        <v>978</v>
      </c>
      <c r="B981" s="10" t="s">
        <v>666</v>
      </c>
      <c r="C981" s="10" t="s">
        <v>667</v>
      </c>
      <c r="D981" s="10" t="s">
        <v>988</v>
      </c>
      <c r="E981" s="10" t="str">
        <f>"644020240515164027181894"</f>
        <v>644020240515164027181894</v>
      </c>
      <c r="F981" s="9"/>
    </row>
    <row r="982" s="2" customFormat="1" ht="30" customHeight="1" spans="1:6">
      <c r="A982" s="9">
        <v>979</v>
      </c>
      <c r="B982" s="10" t="s">
        <v>666</v>
      </c>
      <c r="C982" s="10" t="s">
        <v>667</v>
      </c>
      <c r="D982" s="10" t="s">
        <v>989</v>
      </c>
      <c r="E982" s="10" t="str">
        <f>"644020240515102848181044"</f>
        <v>644020240515102848181044</v>
      </c>
      <c r="F982" s="9"/>
    </row>
    <row r="983" s="2" customFormat="1" ht="30" customHeight="1" spans="1:6">
      <c r="A983" s="9">
        <v>980</v>
      </c>
      <c r="B983" s="10" t="s">
        <v>666</v>
      </c>
      <c r="C983" s="10" t="s">
        <v>667</v>
      </c>
      <c r="D983" s="10" t="s">
        <v>990</v>
      </c>
      <c r="E983" s="10" t="str">
        <f>"644020240513223706177392"</f>
        <v>644020240513223706177392</v>
      </c>
      <c r="F983" s="9"/>
    </row>
    <row r="984" s="2" customFormat="1" ht="30" customHeight="1" spans="1:6">
      <c r="A984" s="9">
        <v>981</v>
      </c>
      <c r="B984" s="10" t="s">
        <v>666</v>
      </c>
      <c r="C984" s="10" t="s">
        <v>667</v>
      </c>
      <c r="D984" s="10" t="s">
        <v>991</v>
      </c>
      <c r="E984" s="10" t="str">
        <f>"644020240514122723178890"</f>
        <v>644020240514122723178890</v>
      </c>
      <c r="F984" s="9"/>
    </row>
    <row r="985" s="2" customFormat="1" ht="30" customHeight="1" spans="1:6">
      <c r="A985" s="9">
        <v>982</v>
      </c>
      <c r="B985" s="10" t="s">
        <v>666</v>
      </c>
      <c r="C985" s="10" t="s">
        <v>667</v>
      </c>
      <c r="D985" s="10" t="s">
        <v>992</v>
      </c>
      <c r="E985" s="10" t="str">
        <f>"644020240515172307182000"</f>
        <v>644020240515172307182000</v>
      </c>
      <c r="F985" s="9"/>
    </row>
    <row r="986" s="2" customFormat="1" ht="30" customHeight="1" spans="1:6">
      <c r="A986" s="9">
        <v>983</v>
      </c>
      <c r="B986" s="10" t="s">
        <v>666</v>
      </c>
      <c r="C986" s="10" t="s">
        <v>667</v>
      </c>
      <c r="D986" s="10" t="s">
        <v>993</v>
      </c>
      <c r="E986" s="10" t="str">
        <f>"644020240513220600177253"</f>
        <v>644020240513220600177253</v>
      </c>
      <c r="F986" s="9"/>
    </row>
    <row r="987" s="2" customFormat="1" ht="30" customHeight="1" spans="1:6">
      <c r="A987" s="9">
        <v>984</v>
      </c>
      <c r="B987" s="10" t="s">
        <v>666</v>
      </c>
      <c r="C987" s="10" t="s">
        <v>667</v>
      </c>
      <c r="D987" s="10" t="s">
        <v>994</v>
      </c>
      <c r="E987" s="10" t="str">
        <f>"644020240512165720170097"</f>
        <v>644020240512165720170097</v>
      </c>
      <c r="F987" s="9"/>
    </row>
    <row r="988" s="2" customFormat="1" ht="30" customHeight="1" spans="1:6">
      <c r="A988" s="9">
        <v>985</v>
      </c>
      <c r="B988" s="10" t="s">
        <v>666</v>
      </c>
      <c r="C988" s="10" t="s">
        <v>667</v>
      </c>
      <c r="D988" s="10" t="s">
        <v>995</v>
      </c>
      <c r="E988" s="10" t="str">
        <f>"644020240515175313182043"</f>
        <v>644020240515175313182043</v>
      </c>
      <c r="F988" s="9"/>
    </row>
    <row r="989" s="2" customFormat="1" ht="30" customHeight="1" spans="1:6">
      <c r="A989" s="9">
        <v>986</v>
      </c>
      <c r="B989" s="10" t="s">
        <v>666</v>
      </c>
      <c r="C989" s="10" t="s">
        <v>667</v>
      </c>
      <c r="D989" s="10" t="s">
        <v>996</v>
      </c>
      <c r="E989" s="10" t="str">
        <f>"644020240515105954181148"</f>
        <v>644020240515105954181148</v>
      </c>
      <c r="F989" s="9"/>
    </row>
    <row r="990" s="2" customFormat="1" ht="30" customHeight="1" spans="1:6">
      <c r="A990" s="9">
        <v>987</v>
      </c>
      <c r="B990" s="10" t="s">
        <v>666</v>
      </c>
      <c r="C990" s="10" t="s">
        <v>667</v>
      </c>
      <c r="D990" s="10" t="s">
        <v>997</v>
      </c>
      <c r="E990" s="10" t="str">
        <f>"644020240515181007182074"</f>
        <v>644020240515181007182074</v>
      </c>
      <c r="F990" s="9"/>
    </row>
    <row r="991" s="2" customFormat="1" ht="30" customHeight="1" spans="1:6">
      <c r="A991" s="9">
        <v>988</v>
      </c>
      <c r="B991" s="10" t="s">
        <v>666</v>
      </c>
      <c r="C991" s="10" t="s">
        <v>667</v>
      </c>
      <c r="D991" s="10" t="s">
        <v>998</v>
      </c>
      <c r="E991" s="10" t="str">
        <f>"644020240515160256181790"</f>
        <v>644020240515160256181790</v>
      </c>
      <c r="F991" s="9"/>
    </row>
    <row r="992" s="2" customFormat="1" ht="30" customHeight="1" spans="1:6">
      <c r="A992" s="9">
        <v>989</v>
      </c>
      <c r="B992" s="10" t="s">
        <v>666</v>
      </c>
      <c r="C992" s="10" t="s">
        <v>667</v>
      </c>
      <c r="D992" s="10" t="s">
        <v>999</v>
      </c>
      <c r="E992" s="10" t="str">
        <f>"644020240515184046182108"</f>
        <v>644020240515184046182108</v>
      </c>
      <c r="F992" s="9"/>
    </row>
    <row r="993" s="2" customFormat="1" ht="30" customHeight="1" spans="1:6">
      <c r="A993" s="9">
        <v>990</v>
      </c>
      <c r="B993" s="10" t="s">
        <v>666</v>
      </c>
      <c r="C993" s="10" t="s">
        <v>667</v>
      </c>
      <c r="D993" s="10" t="s">
        <v>1000</v>
      </c>
      <c r="E993" s="10" t="str">
        <f>"644020240515115739181316"</f>
        <v>644020240515115739181316</v>
      </c>
      <c r="F993" s="9"/>
    </row>
    <row r="994" s="2" customFormat="1" ht="30" customHeight="1" spans="1:6">
      <c r="A994" s="9">
        <v>991</v>
      </c>
      <c r="B994" s="10" t="s">
        <v>666</v>
      </c>
      <c r="C994" s="10" t="s">
        <v>667</v>
      </c>
      <c r="D994" s="10" t="s">
        <v>1001</v>
      </c>
      <c r="E994" s="10" t="str">
        <f>"644020240515180402182064"</f>
        <v>644020240515180402182064</v>
      </c>
      <c r="F994" s="9"/>
    </row>
    <row r="995" s="2" customFormat="1" ht="30" customHeight="1" spans="1:6">
      <c r="A995" s="9">
        <v>992</v>
      </c>
      <c r="B995" s="10" t="s">
        <v>666</v>
      </c>
      <c r="C995" s="10" t="s">
        <v>667</v>
      </c>
      <c r="D995" s="10" t="s">
        <v>1002</v>
      </c>
      <c r="E995" s="10" t="str">
        <f>"644020240515134752181499"</f>
        <v>644020240515134752181499</v>
      </c>
      <c r="F995" s="9"/>
    </row>
    <row r="996" s="2" customFormat="1" ht="30" customHeight="1" spans="1:6">
      <c r="A996" s="9">
        <v>993</v>
      </c>
      <c r="B996" s="10" t="s">
        <v>666</v>
      </c>
      <c r="C996" s="10" t="s">
        <v>667</v>
      </c>
      <c r="D996" s="10" t="s">
        <v>1003</v>
      </c>
      <c r="E996" s="10" t="str">
        <f>"644020240514225006180429"</f>
        <v>644020240514225006180429</v>
      </c>
      <c r="F996" s="9"/>
    </row>
    <row r="997" s="2" customFormat="1" ht="30" customHeight="1" spans="1:6">
      <c r="A997" s="9">
        <v>994</v>
      </c>
      <c r="B997" s="10" t="s">
        <v>666</v>
      </c>
      <c r="C997" s="10" t="s">
        <v>667</v>
      </c>
      <c r="D997" s="10" t="s">
        <v>1004</v>
      </c>
      <c r="E997" s="10" t="str">
        <f>"644020240515200841182229"</f>
        <v>644020240515200841182229</v>
      </c>
      <c r="F997" s="9"/>
    </row>
    <row r="998" s="2" customFormat="1" ht="30" customHeight="1" spans="1:6">
      <c r="A998" s="9">
        <v>995</v>
      </c>
      <c r="B998" s="10" t="s">
        <v>666</v>
      </c>
      <c r="C998" s="10" t="s">
        <v>667</v>
      </c>
      <c r="D998" s="10" t="s">
        <v>1005</v>
      </c>
      <c r="E998" s="10" t="str">
        <f>"644020240514001240177655"</f>
        <v>644020240514001240177655</v>
      </c>
      <c r="F998" s="9"/>
    </row>
    <row r="999" s="2" customFormat="1" ht="30" customHeight="1" spans="1:6">
      <c r="A999" s="9">
        <v>996</v>
      </c>
      <c r="B999" s="10" t="s">
        <v>666</v>
      </c>
      <c r="C999" s="10" t="s">
        <v>667</v>
      </c>
      <c r="D999" s="10" t="s">
        <v>1006</v>
      </c>
      <c r="E999" s="10" t="str">
        <f>"644020240515194933182199"</f>
        <v>644020240515194933182199</v>
      </c>
      <c r="F999" s="9"/>
    </row>
    <row r="1000" s="2" customFormat="1" ht="30" customHeight="1" spans="1:6">
      <c r="A1000" s="9">
        <v>997</v>
      </c>
      <c r="B1000" s="10" t="s">
        <v>666</v>
      </c>
      <c r="C1000" s="10" t="s">
        <v>667</v>
      </c>
      <c r="D1000" s="10" t="s">
        <v>1007</v>
      </c>
      <c r="E1000" s="10" t="str">
        <f>"644020240515144406181586"</f>
        <v>644020240515144406181586</v>
      </c>
      <c r="F1000" s="9"/>
    </row>
    <row r="1001" s="2" customFormat="1" ht="30" customHeight="1" spans="1:6">
      <c r="A1001" s="9">
        <v>998</v>
      </c>
      <c r="B1001" s="10" t="s">
        <v>666</v>
      </c>
      <c r="C1001" s="10" t="s">
        <v>667</v>
      </c>
      <c r="D1001" s="10" t="s">
        <v>1008</v>
      </c>
      <c r="E1001" s="10" t="str">
        <f>"644020240515130417181424"</f>
        <v>644020240515130417181424</v>
      </c>
      <c r="F1001" s="9"/>
    </row>
    <row r="1002" s="2" customFormat="1" ht="30" customHeight="1" spans="1:6">
      <c r="A1002" s="9">
        <v>999</v>
      </c>
      <c r="B1002" s="10" t="s">
        <v>666</v>
      </c>
      <c r="C1002" s="10" t="s">
        <v>667</v>
      </c>
      <c r="D1002" s="10" t="s">
        <v>1009</v>
      </c>
      <c r="E1002" s="10" t="str">
        <f>"644020240515200337182220"</f>
        <v>644020240515200337182220</v>
      </c>
      <c r="F1002" s="9"/>
    </row>
    <row r="1003" s="2" customFormat="1" ht="30" customHeight="1" spans="1:6">
      <c r="A1003" s="9">
        <v>1000</v>
      </c>
      <c r="B1003" s="10" t="s">
        <v>666</v>
      </c>
      <c r="C1003" s="10" t="s">
        <v>667</v>
      </c>
      <c r="D1003" s="10" t="s">
        <v>1010</v>
      </c>
      <c r="E1003" s="10" t="str">
        <f>"644020240515202332182251"</f>
        <v>644020240515202332182251</v>
      </c>
      <c r="F1003" s="9"/>
    </row>
    <row r="1004" s="2" customFormat="1" ht="30" customHeight="1" spans="1:6">
      <c r="A1004" s="9">
        <v>1001</v>
      </c>
      <c r="B1004" s="10" t="s">
        <v>666</v>
      </c>
      <c r="C1004" s="10" t="s">
        <v>667</v>
      </c>
      <c r="D1004" s="10" t="s">
        <v>1011</v>
      </c>
      <c r="E1004" s="10" t="str">
        <f>"644020240514204243180053"</f>
        <v>644020240514204243180053</v>
      </c>
      <c r="F1004" s="9"/>
    </row>
    <row r="1005" s="2" customFormat="1" ht="30" customHeight="1" spans="1:6">
      <c r="A1005" s="9">
        <v>1002</v>
      </c>
      <c r="B1005" s="10" t="s">
        <v>666</v>
      </c>
      <c r="C1005" s="10" t="s">
        <v>667</v>
      </c>
      <c r="D1005" s="10" t="s">
        <v>1012</v>
      </c>
      <c r="E1005" s="10" t="str">
        <f>"644020240515201703182242"</f>
        <v>644020240515201703182242</v>
      </c>
      <c r="F1005" s="9"/>
    </row>
    <row r="1006" s="2" customFormat="1" ht="30" customHeight="1" spans="1:6">
      <c r="A1006" s="9">
        <v>1003</v>
      </c>
      <c r="B1006" s="10" t="s">
        <v>666</v>
      </c>
      <c r="C1006" s="10" t="s">
        <v>667</v>
      </c>
      <c r="D1006" s="10" t="s">
        <v>1013</v>
      </c>
      <c r="E1006" s="10" t="str">
        <f>"644020240513225652177476"</f>
        <v>644020240513225652177476</v>
      </c>
      <c r="F1006" s="9"/>
    </row>
    <row r="1007" s="2" customFormat="1" ht="30" customHeight="1" spans="1:6">
      <c r="A1007" s="9">
        <v>1004</v>
      </c>
      <c r="B1007" s="10" t="s">
        <v>666</v>
      </c>
      <c r="C1007" s="10" t="s">
        <v>667</v>
      </c>
      <c r="D1007" s="10" t="s">
        <v>1014</v>
      </c>
      <c r="E1007" s="10" t="str">
        <f>"644020240514090819178006"</f>
        <v>644020240514090819178006</v>
      </c>
      <c r="F1007" s="9"/>
    </row>
    <row r="1008" s="2" customFormat="1" ht="30" customHeight="1" spans="1:6">
      <c r="A1008" s="9">
        <v>1005</v>
      </c>
      <c r="B1008" s="10" t="s">
        <v>666</v>
      </c>
      <c r="C1008" s="10" t="s">
        <v>667</v>
      </c>
      <c r="D1008" s="10" t="s">
        <v>1015</v>
      </c>
      <c r="E1008" s="10" t="str">
        <f>"644020240512173629170240"</f>
        <v>644020240512173629170240</v>
      </c>
      <c r="F1008" s="9"/>
    </row>
    <row r="1009" s="2" customFormat="1" ht="30" customHeight="1" spans="1:6">
      <c r="A1009" s="9">
        <v>1006</v>
      </c>
      <c r="B1009" s="10" t="s">
        <v>666</v>
      </c>
      <c r="C1009" s="10" t="s">
        <v>667</v>
      </c>
      <c r="D1009" s="10" t="s">
        <v>1016</v>
      </c>
      <c r="E1009" s="10" t="str">
        <f>"644020240513111053173787"</f>
        <v>644020240513111053173787</v>
      </c>
      <c r="F1009" s="9"/>
    </row>
    <row r="1010" s="2" customFormat="1" ht="30" customHeight="1" spans="1:6">
      <c r="A1010" s="9">
        <v>1007</v>
      </c>
      <c r="B1010" s="10" t="s">
        <v>666</v>
      </c>
      <c r="C1010" s="10" t="s">
        <v>667</v>
      </c>
      <c r="D1010" s="10" t="s">
        <v>1017</v>
      </c>
      <c r="E1010" s="10" t="str">
        <f>"644020240515223105182427"</f>
        <v>644020240515223105182427</v>
      </c>
      <c r="F1010" s="9"/>
    </row>
    <row r="1011" s="2" customFormat="1" ht="30" customHeight="1" spans="1:6">
      <c r="A1011" s="9">
        <v>1008</v>
      </c>
      <c r="B1011" s="10" t="s">
        <v>666</v>
      </c>
      <c r="C1011" s="10" t="s">
        <v>667</v>
      </c>
      <c r="D1011" s="10" t="s">
        <v>1018</v>
      </c>
      <c r="E1011" s="10" t="str">
        <f>"644020240515150659181631"</f>
        <v>644020240515150659181631</v>
      </c>
      <c r="F1011" s="9"/>
    </row>
    <row r="1012" s="2" customFormat="1" ht="30" customHeight="1" spans="1:6">
      <c r="A1012" s="9">
        <v>1009</v>
      </c>
      <c r="B1012" s="10" t="s">
        <v>666</v>
      </c>
      <c r="C1012" s="10" t="s">
        <v>667</v>
      </c>
      <c r="D1012" s="10" t="s">
        <v>1019</v>
      </c>
      <c r="E1012" s="10" t="str">
        <f>"644020240515220633182352"</f>
        <v>644020240515220633182352</v>
      </c>
      <c r="F1012" s="9"/>
    </row>
    <row r="1013" s="2" customFormat="1" ht="30" customHeight="1" spans="1:6">
      <c r="A1013" s="9">
        <v>1010</v>
      </c>
      <c r="B1013" s="10" t="s">
        <v>666</v>
      </c>
      <c r="C1013" s="10" t="s">
        <v>667</v>
      </c>
      <c r="D1013" s="10" t="s">
        <v>1020</v>
      </c>
      <c r="E1013" s="10" t="str">
        <f>"644020240515142518181552"</f>
        <v>644020240515142518181552</v>
      </c>
      <c r="F1013" s="9"/>
    </row>
    <row r="1014" s="2" customFormat="1" ht="30" customHeight="1" spans="1:6">
      <c r="A1014" s="9">
        <v>1011</v>
      </c>
      <c r="B1014" s="10" t="s">
        <v>666</v>
      </c>
      <c r="C1014" s="10" t="s">
        <v>667</v>
      </c>
      <c r="D1014" s="10" t="s">
        <v>1021</v>
      </c>
      <c r="E1014" s="10" t="str">
        <f>"644020240515232018182549"</f>
        <v>644020240515232018182549</v>
      </c>
      <c r="F1014" s="9"/>
    </row>
    <row r="1015" s="2" customFormat="1" ht="30" customHeight="1" spans="1:6">
      <c r="A1015" s="9">
        <v>1012</v>
      </c>
      <c r="B1015" s="10" t="s">
        <v>666</v>
      </c>
      <c r="C1015" s="10" t="s">
        <v>667</v>
      </c>
      <c r="D1015" s="10" t="s">
        <v>1022</v>
      </c>
      <c r="E1015" s="10" t="str">
        <f>"644020240515221548182379"</f>
        <v>644020240515221548182379</v>
      </c>
      <c r="F1015" s="9"/>
    </row>
    <row r="1016" s="2" customFormat="1" ht="30" customHeight="1" spans="1:6">
      <c r="A1016" s="9">
        <v>1013</v>
      </c>
      <c r="B1016" s="10" t="s">
        <v>666</v>
      </c>
      <c r="C1016" s="10" t="s">
        <v>667</v>
      </c>
      <c r="D1016" s="10" t="s">
        <v>1023</v>
      </c>
      <c r="E1016" s="10" t="str">
        <f>"644020240515231010182531"</f>
        <v>644020240515231010182531</v>
      </c>
      <c r="F1016" s="9"/>
    </row>
    <row r="1017" s="2" customFormat="1" ht="30" customHeight="1" spans="1:6">
      <c r="A1017" s="9">
        <v>1014</v>
      </c>
      <c r="B1017" s="10" t="s">
        <v>666</v>
      </c>
      <c r="C1017" s="10" t="s">
        <v>667</v>
      </c>
      <c r="D1017" s="10" t="s">
        <v>1024</v>
      </c>
      <c r="E1017" s="10" t="str">
        <f>"644020240515232532182565"</f>
        <v>644020240515232532182565</v>
      </c>
      <c r="F1017" s="9"/>
    </row>
    <row r="1018" s="2" customFormat="1" ht="30" customHeight="1" spans="1:6">
      <c r="A1018" s="9">
        <v>1015</v>
      </c>
      <c r="B1018" s="10" t="s">
        <v>666</v>
      </c>
      <c r="C1018" s="10" t="s">
        <v>667</v>
      </c>
      <c r="D1018" s="10" t="s">
        <v>1025</v>
      </c>
      <c r="E1018" s="10" t="str">
        <f>"644020240513220556177251"</f>
        <v>644020240513220556177251</v>
      </c>
      <c r="F1018" s="9"/>
    </row>
    <row r="1019" s="2" customFormat="1" ht="30" customHeight="1" spans="1:6">
      <c r="A1019" s="9">
        <v>1016</v>
      </c>
      <c r="B1019" s="10" t="s">
        <v>666</v>
      </c>
      <c r="C1019" s="10" t="s">
        <v>667</v>
      </c>
      <c r="D1019" s="10" t="s">
        <v>1026</v>
      </c>
      <c r="E1019" s="10" t="str">
        <f>"644020240515222800182420"</f>
        <v>644020240515222800182420</v>
      </c>
      <c r="F1019" s="9"/>
    </row>
    <row r="1020" s="2" customFormat="1" ht="30" customHeight="1" spans="1:6">
      <c r="A1020" s="9">
        <v>1017</v>
      </c>
      <c r="B1020" s="10" t="s">
        <v>666</v>
      </c>
      <c r="C1020" s="10" t="s">
        <v>667</v>
      </c>
      <c r="D1020" s="10" t="s">
        <v>1027</v>
      </c>
      <c r="E1020" s="10" t="str">
        <f>"644020240515232328182558"</f>
        <v>644020240515232328182558</v>
      </c>
      <c r="F1020" s="9"/>
    </row>
    <row r="1021" s="2" customFormat="1" ht="30" customHeight="1" spans="1:6">
      <c r="A1021" s="9">
        <v>1018</v>
      </c>
      <c r="B1021" s="10" t="s">
        <v>666</v>
      </c>
      <c r="C1021" s="10" t="s">
        <v>667</v>
      </c>
      <c r="D1021" s="10" t="s">
        <v>1028</v>
      </c>
      <c r="E1021" s="10" t="str">
        <f>"644020240512154028169803"</f>
        <v>644020240512154028169803</v>
      </c>
      <c r="F1021" s="9"/>
    </row>
    <row r="1022" s="2" customFormat="1" ht="30" customHeight="1" spans="1:6">
      <c r="A1022" s="9">
        <v>1019</v>
      </c>
      <c r="B1022" s="10" t="s">
        <v>666</v>
      </c>
      <c r="C1022" s="10" t="s">
        <v>667</v>
      </c>
      <c r="D1022" s="10" t="s">
        <v>1029</v>
      </c>
      <c r="E1022" s="10" t="str">
        <f>"644020240515123045181374"</f>
        <v>644020240515123045181374</v>
      </c>
      <c r="F1022" s="9"/>
    </row>
    <row r="1023" s="2" customFormat="1" ht="30" customHeight="1" spans="1:6">
      <c r="A1023" s="9">
        <v>1020</v>
      </c>
      <c r="B1023" s="10" t="s">
        <v>666</v>
      </c>
      <c r="C1023" s="10" t="s">
        <v>667</v>
      </c>
      <c r="D1023" s="10" t="s">
        <v>1030</v>
      </c>
      <c r="E1023" s="10" t="str">
        <f>"644020240516005418182672"</f>
        <v>644020240516005418182672</v>
      </c>
      <c r="F1023" s="9"/>
    </row>
    <row r="1024" s="2" customFormat="1" ht="30" customHeight="1" spans="1:6">
      <c r="A1024" s="9">
        <v>1021</v>
      </c>
      <c r="B1024" s="10" t="s">
        <v>666</v>
      </c>
      <c r="C1024" s="10" t="s">
        <v>667</v>
      </c>
      <c r="D1024" s="10" t="s">
        <v>1031</v>
      </c>
      <c r="E1024" s="10" t="str">
        <f>"644020240512170425170124"</f>
        <v>644020240512170425170124</v>
      </c>
      <c r="F1024" s="9"/>
    </row>
    <row r="1025" s="2" customFormat="1" ht="30" customHeight="1" spans="1:6">
      <c r="A1025" s="9">
        <v>1022</v>
      </c>
      <c r="B1025" s="10" t="s">
        <v>666</v>
      </c>
      <c r="C1025" s="10" t="s">
        <v>667</v>
      </c>
      <c r="D1025" s="10" t="s">
        <v>1032</v>
      </c>
      <c r="E1025" s="10" t="str">
        <f>"644020240516031322182703"</f>
        <v>644020240516031322182703</v>
      </c>
      <c r="F1025" s="9"/>
    </row>
    <row r="1026" s="2" customFormat="1" ht="30" customHeight="1" spans="1:6">
      <c r="A1026" s="9">
        <v>1023</v>
      </c>
      <c r="B1026" s="10" t="s">
        <v>666</v>
      </c>
      <c r="C1026" s="10" t="s">
        <v>667</v>
      </c>
      <c r="D1026" s="10" t="s">
        <v>1033</v>
      </c>
      <c r="E1026" s="10" t="str">
        <f>"644020240513222905177356"</f>
        <v>644020240513222905177356</v>
      </c>
      <c r="F1026" s="9"/>
    </row>
    <row r="1027" s="2" customFormat="1" ht="30" customHeight="1" spans="1:6">
      <c r="A1027" s="9">
        <v>1024</v>
      </c>
      <c r="B1027" s="10" t="s">
        <v>666</v>
      </c>
      <c r="C1027" s="10" t="s">
        <v>667</v>
      </c>
      <c r="D1027" s="10" t="s">
        <v>1034</v>
      </c>
      <c r="E1027" s="10" t="str">
        <f>"644020240515174004182019"</f>
        <v>644020240515174004182019</v>
      </c>
      <c r="F1027" s="9"/>
    </row>
    <row r="1028" s="2" customFormat="1" ht="30" customHeight="1" spans="1:6">
      <c r="A1028" s="9">
        <v>1025</v>
      </c>
      <c r="B1028" s="10" t="s">
        <v>666</v>
      </c>
      <c r="C1028" s="10" t="s">
        <v>667</v>
      </c>
      <c r="D1028" s="10" t="s">
        <v>1035</v>
      </c>
      <c r="E1028" s="10" t="str">
        <f>"644020240514225034180431"</f>
        <v>644020240514225034180431</v>
      </c>
      <c r="F1028" s="9"/>
    </row>
    <row r="1029" s="2" customFormat="1" ht="30" customHeight="1" spans="1:6">
      <c r="A1029" s="9">
        <v>1026</v>
      </c>
      <c r="B1029" s="10" t="s">
        <v>666</v>
      </c>
      <c r="C1029" s="10" t="s">
        <v>667</v>
      </c>
      <c r="D1029" s="10" t="s">
        <v>1036</v>
      </c>
      <c r="E1029" s="10" t="str">
        <f>"644020240516090823182823"</f>
        <v>644020240516090823182823</v>
      </c>
      <c r="F1029" s="9"/>
    </row>
    <row r="1030" s="2" customFormat="1" ht="30" customHeight="1" spans="1:6">
      <c r="A1030" s="9">
        <v>1027</v>
      </c>
      <c r="B1030" s="10" t="s">
        <v>666</v>
      </c>
      <c r="C1030" s="10" t="s">
        <v>667</v>
      </c>
      <c r="D1030" s="10" t="s">
        <v>1037</v>
      </c>
      <c r="E1030" s="10" t="str">
        <f>"644020240516090428182815"</f>
        <v>644020240516090428182815</v>
      </c>
      <c r="F1030" s="9"/>
    </row>
    <row r="1031" s="2" customFormat="1" ht="30" customHeight="1" spans="1:6">
      <c r="A1031" s="9">
        <v>1028</v>
      </c>
      <c r="B1031" s="10" t="s">
        <v>666</v>
      </c>
      <c r="C1031" s="10" t="s">
        <v>667</v>
      </c>
      <c r="D1031" s="10" t="s">
        <v>1038</v>
      </c>
      <c r="E1031" s="10" t="str">
        <f>"644020240515150734181632"</f>
        <v>644020240515150734181632</v>
      </c>
      <c r="F1031" s="9"/>
    </row>
    <row r="1032" s="2" customFormat="1" ht="30" customHeight="1" spans="1:6">
      <c r="A1032" s="9">
        <v>1029</v>
      </c>
      <c r="B1032" s="10" t="s">
        <v>666</v>
      </c>
      <c r="C1032" s="10" t="s">
        <v>667</v>
      </c>
      <c r="D1032" s="10" t="s">
        <v>1039</v>
      </c>
      <c r="E1032" s="10" t="str">
        <f>"644020240516092122182856"</f>
        <v>644020240516092122182856</v>
      </c>
      <c r="F1032" s="9"/>
    </row>
    <row r="1033" s="2" customFormat="1" ht="30" customHeight="1" spans="1:6">
      <c r="A1033" s="9">
        <v>1030</v>
      </c>
      <c r="B1033" s="10" t="s">
        <v>666</v>
      </c>
      <c r="C1033" s="10" t="s">
        <v>667</v>
      </c>
      <c r="D1033" s="10" t="s">
        <v>1040</v>
      </c>
      <c r="E1033" s="10" t="str">
        <f>"644020240514092745178100"</f>
        <v>644020240514092745178100</v>
      </c>
      <c r="F1033" s="9"/>
    </row>
    <row r="1034" s="2" customFormat="1" ht="30" customHeight="1" spans="1:6">
      <c r="A1034" s="9">
        <v>1031</v>
      </c>
      <c r="B1034" s="10" t="s">
        <v>666</v>
      </c>
      <c r="C1034" s="10" t="s">
        <v>667</v>
      </c>
      <c r="D1034" s="10" t="s">
        <v>1041</v>
      </c>
      <c r="E1034" s="10" t="str">
        <f>"644020240514210621180128"</f>
        <v>644020240514210621180128</v>
      </c>
      <c r="F1034" s="9"/>
    </row>
    <row r="1035" s="2" customFormat="1" ht="30" customHeight="1" spans="1:6">
      <c r="A1035" s="9">
        <v>1032</v>
      </c>
      <c r="B1035" s="10" t="s">
        <v>666</v>
      </c>
      <c r="C1035" s="10" t="s">
        <v>667</v>
      </c>
      <c r="D1035" s="10" t="s">
        <v>1042</v>
      </c>
      <c r="E1035" s="10" t="str">
        <f>"644020240516104531183055"</f>
        <v>644020240516104531183055</v>
      </c>
      <c r="F1035" s="9"/>
    </row>
    <row r="1036" s="2" customFormat="1" ht="30" customHeight="1" spans="1:6">
      <c r="A1036" s="9">
        <v>1033</v>
      </c>
      <c r="B1036" s="10" t="s">
        <v>666</v>
      </c>
      <c r="C1036" s="10" t="s">
        <v>667</v>
      </c>
      <c r="D1036" s="10" t="s">
        <v>1043</v>
      </c>
      <c r="E1036" s="10" t="str">
        <f>"644020240513100529173166"</f>
        <v>644020240513100529173166</v>
      </c>
      <c r="F1036" s="9"/>
    </row>
    <row r="1037" s="2" customFormat="1" ht="30" customHeight="1" spans="1:6">
      <c r="A1037" s="9">
        <v>1034</v>
      </c>
      <c r="B1037" s="10" t="s">
        <v>666</v>
      </c>
      <c r="C1037" s="10" t="s">
        <v>667</v>
      </c>
      <c r="D1037" s="10" t="s">
        <v>1044</v>
      </c>
      <c r="E1037" s="10" t="str">
        <f>"644020240516110752183123"</f>
        <v>644020240516110752183123</v>
      </c>
      <c r="F1037" s="9"/>
    </row>
    <row r="1038" s="2" customFormat="1" ht="30" customHeight="1" spans="1:6">
      <c r="A1038" s="9">
        <v>1035</v>
      </c>
      <c r="B1038" s="10" t="s">
        <v>666</v>
      </c>
      <c r="C1038" s="10" t="s">
        <v>667</v>
      </c>
      <c r="D1038" s="10" t="s">
        <v>1045</v>
      </c>
      <c r="E1038" s="10" t="str">
        <f>"644020240514221656180343"</f>
        <v>644020240514221656180343</v>
      </c>
      <c r="F1038" s="9"/>
    </row>
    <row r="1039" s="2" customFormat="1" ht="30" customHeight="1" spans="1:6">
      <c r="A1039" s="9">
        <v>1036</v>
      </c>
      <c r="B1039" s="10" t="s">
        <v>666</v>
      </c>
      <c r="C1039" s="10" t="s">
        <v>667</v>
      </c>
      <c r="D1039" s="10" t="s">
        <v>1046</v>
      </c>
      <c r="E1039" s="10" t="str">
        <f>"644020240516100233182960"</f>
        <v>644020240516100233182960</v>
      </c>
      <c r="F1039" s="9"/>
    </row>
    <row r="1040" s="2" customFormat="1" ht="30" customHeight="1" spans="1:6">
      <c r="A1040" s="9">
        <v>1037</v>
      </c>
      <c r="B1040" s="10" t="s">
        <v>666</v>
      </c>
      <c r="C1040" s="10" t="s">
        <v>667</v>
      </c>
      <c r="D1040" s="10" t="s">
        <v>1047</v>
      </c>
      <c r="E1040" s="10" t="str">
        <f>"644020240516102344183014"</f>
        <v>644020240516102344183014</v>
      </c>
      <c r="F1040" s="9"/>
    </row>
    <row r="1041" s="2" customFormat="1" ht="30" customHeight="1" spans="1:6">
      <c r="A1041" s="9">
        <v>1038</v>
      </c>
      <c r="B1041" s="10" t="s">
        <v>666</v>
      </c>
      <c r="C1041" s="10" t="s">
        <v>667</v>
      </c>
      <c r="D1041" s="10" t="s">
        <v>1048</v>
      </c>
      <c r="E1041" s="10" t="str">
        <f>"644020240516113505183181"</f>
        <v>644020240516113505183181</v>
      </c>
      <c r="F1041" s="9"/>
    </row>
    <row r="1042" s="2" customFormat="1" ht="30" customHeight="1" spans="1:6">
      <c r="A1042" s="9">
        <v>1039</v>
      </c>
      <c r="B1042" s="10" t="s">
        <v>666</v>
      </c>
      <c r="C1042" s="10" t="s">
        <v>667</v>
      </c>
      <c r="D1042" s="10" t="s">
        <v>1049</v>
      </c>
      <c r="E1042" s="10" t="str">
        <f>"644020240515122352181364"</f>
        <v>644020240515122352181364</v>
      </c>
      <c r="F1042" s="9"/>
    </row>
    <row r="1043" s="2" customFormat="1" ht="30" customHeight="1" spans="1:6">
      <c r="A1043" s="9">
        <v>1040</v>
      </c>
      <c r="B1043" s="10" t="s">
        <v>666</v>
      </c>
      <c r="C1043" s="10" t="s">
        <v>667</v>
      </c>
      <c r="D1043" s="10" t="s">
        <v>1050</v>
      </c>
      <c r="E1043" s="10" t="str">
        <f>"644020240516082334182762"</f>
        <v>644020240516082334182762</v>
      </c>
      <c r="F1043" s="9"/>
    </row>
    <row r="1044" s="2" customFormat="1" ht="30" customHeight="1" spans="1:6">
      <c r="A1044" s="9">
        <v>1041</v>
      </c>
      <c r="B1044" s="10" t="s">
        <v>666</v>
      </c>
      <c r="C1044" s="10" t="s">
        <v>667</v>
      </c>
      <c r="D1044" s="10" t="s">
        <v>1051</v>
      </c>
      <c r="E1044" s="10" t="str">
        <f>"644020240516091020182826"</f>
        <v>644020240516091020182826</v>
      </c>
      <c r="F1044" s="9"/>
    </row>
    <row r="1045" s="2" customFormat="1" ht="30" customHeight="1" spans="1:6">
      <c r="A1045" s="9">
        <v>1042</v>
      </c>
      <c r="B1045" s="10" t="s">
        <v>666</v>
      </c>
      <c r="C1045" s="10" t="s">
        <v>667</v>
      </c>
      <c r="D1045" s="10" t="s">
        <v>1052</v>
      </c>
      <c r="E1045" s="10" t="str">
        <f>"644020240513124800174425"</f>
        <v>644020240513124800174425</v>
      </c>
      <c r="F1045" s="9"/>
    </row>
    <row r="1046" s="2" customFormat="1" ht="30" customHeight="1" spans="1:6">
      <c r="A1046" s="9">
        <v>1043</v>
      </c>
      <c r="B1046" s="10" t="s">
        <v>666</v>
      </c>
      <c r="C1046" s="10" t="s">
        <v>667</v>
      </c>
      <c r="D1046" s="10" t="s">
        <v>1053</v>
      </c>
      <c r="E1046" s="10" t="str">
        <f>"644020240516115557183219"</f>
        <v>644020240516115557183219</v>
      </c>
      <c r="F1046" s="9"/>
    </row>
    <row r="1047" s="2" customFormat="1" ht="30" customHeight="1" spans="1:6">
      <c r="A1047" s="9">
        <v>1044</v>
      </c>
      <c r="B1047" s="10" t="s">
        <v>666</v>
      </c>
      <c r="C1047" s="10" t="s">
        <v>667</v>
      </c>
      <c r="D1047" s="10" t="s">
        <v>1054</v>
      </c>
      <c r="E1047" s="10" t="str">
        <f>"644020240515120418181332"</f>
        <v>644020240515120418181332</v>
      </c>
      <c r="F1047" s="9"/>
    </row>
    <row r="1048" s="2" customFormat="1" ht="30" customHeight="1" spans="1:6">
      <c r="A1048" s="9">
        <v>1045</v>
      </c>
      <c r="B1048" s="10" t="s">
        <v>666</v>
      </c>
      <c r="C1048" s="10" t="s">
        <v>667</v>
      </c>
      <c r="D1048" s="10" t="s">
        <v>1055</v>
      </c>
      <c r="E1048" s="10" t="str">
        <f>"644020240514153546179323"</f>
        <v>644020240514153546179323</v>
      </c>
      <c r="F1048" s="9"/>
    </row>
    <row r="1049" s="2" customFormat="1" ht="30" customHeight="1" spans="1:6">
      <c r="A1049" s="9">
        <v>1046</v>
      </c>
      <c r="B1049" s="10" t="s">
        <v>666</v>
      </c>
      <c r="C1049" s="10" t="s">
        <v>667</v>
      </c>
      <c r="D1049" s="10" t="s">
        <v>1056</v>
      </c>
      <c r="E1049" s="10" t="str">
        <f>"644020240515042950180633"</f>
        <v>644020240515042950180633</v>
      </c>
      <c r="F1049" s="9"/>
    </row>
    <row r="1050" s="2" customFormat="1" ht="30" customHeight="1" spans="1:6">
      <c r="A1050" s="9">
        <v>1047</v>
      </c>
      <c r="B1050" s="10" t="s">
        <v>666</v>
      </c>
      <c r="C1050" s="10" t="s">
        <v>667</v>
      </c>
      <c r="D1050" s="10" t="s">
        <v>1057</v>
      </c>
      <c r="E1050" s="10" t="str">
        <f>"644020240516132541183370"</f>
        <v>644020240516132541183370</v>
      </c>
      <c r="F1050" s="9"/>
    </row>
    <row r="1051" s="2" customFormat="1" ht="30" customHeight="1" spans="1:6">
      <c r="A1051" s="9">
        <v>1048</v>
      </c>
      <c r="B1051" s="10" t="s">
        <v>666</v>
      </c>
      <c r="C1051" s="10" t="s">
        <v>667</v>
      </c>
      <c r="D1051" s="10" t="s">
        <v>1058</v>
      </c>
      <c r="E1051" s="10" t="str">
        <f>"644020240516134545183389"</f>
        <v>644020240516134545183389</v>
      </c>
      <c r="F1051" s="9"/>
    </row>
    <row r="1052" s="2" customFormat="1" ht="30" customHeight="1" spans="1:6">
      <c r="A1052" s="9">
        <v>1049</v>
      </c>
      <c r="B1052" s="10" t="s">
        <v>666</v>
      </c>
      <c r="C1052" s="10" t="s">
        <v>667</v>
      </c>
      <c r="D1052" s="10" t="s">
        <v>1059</v>
      </c>
      <c r="E1052" s="10" t="str">
        <f>"644020240515094601180900"</f>
        <v>644020240515094601180900</v>
      </c>
      <c r="F1052" s="9"/>
    </row>
    <row r="1053" s="2" customFormat="1" ht="30" customHeight="1" spans="1:6">
      <c r="A1053" s="9">
        <v>1050</v>
      </c>
      <c r="B1053" s="10" t="s">
        <v>666</v>
      </c>
      <c r="C1053" s="10" t="s">
        <v>667</v>
      </c>
      <c r="D1053" s="10" t="s">
        <v>1060</v>
      </c>
      <c r="E1053" s="10" t="str">
        <f>"644020240512230317171695"</f>
        <v>644020240512230317171695</v>
      </c>
      <c r="F1053" s="9"/>
    </row>
    <row r="1054" s="2" customFormat="1" ht="30" customHeight="1" spans="1:6">
      <c r="A1054" s="9">
        <v>1051</v>
      </c>
      <c r="B1054" s="10" t="s">
        <v>666</v>
      </c>
      <c r="C1054" s="10" t="s">
        <v>667</v>
      </c>
      <c r="D1054" s="10" t="s">
        <v>1061</v>
      </c>
      <c r="E1054" s="10" t="str">
        <f>"644020240512113622168919"</f>
        <v>644020240512113622168919</v>
      </c>
      <c r="F1054" s="9"/>
    </row>
    <row r="1055" s="2" customFormat="1" ht="30" customHeight="1" spans="1:6">
      <c r="A1055" s="9">
        <v>1052</v>
      </c>
      <c r="B1055" s="10" t="s">
        <v>666</v>
      </c>
      <c r="C1055" s="10" t="s">
        <v>667</v>
      </c>
      <c r="D1055" s="10" t="s">
        <v>1062</v>
      </c>
      <c r="E1055" s="10" t="str">
        <f>"644020240516140930183412"</f>
        <v>644020240516140930183412</v>
      </c>
      <c r="F1055" s="9"/>
    </row>
    <row r="1056" s="2" customFormat="1" ht="30" customHeight="1" spans="1:6">
      <c r="A1056" s="9">
        <v>1053</v>
      </c>
      <c r="B1056" s="10" t="s">
        <v>666</v>
      </c>
      <c r="C1056" s="10" t="s">
        <v>667</v>
      </c>
      <c r="D1056" s="10" t="s">
        <v>1063</v>
      </c>
      <c r="E1056" s="10" t="str">
        <f>"644020240516113735183185"</f>
        <v>644020240516113735183185</v>
      </c>
      <c r="F1056" s="9"/>
    </row>
    <row r="1057" s="2" customFormat="1" ht="30" customHeight="1" spans="1:6">
      <c r="A1057" s="9">
        <v>1054</v>
      </c>
      <c r="B1057" s="10" t="s">
        <v>666</v>
      </c>
      <c r="C1057" s="10" t="s">
        <v>667</v>
      </c>
      <c r="D1057" s="10" t="s">
        <v>1064</v>
      </c>
      <c r="E1057" s="10" t="str">
        <f>"644020240515112812181235"</f>
        <v>644020240515112812181235</v>
      </c>
      <c r="F1057" s="9"/>
    </row>
    <row r="1058" s="2" customFormat="1" ht="30" customHeight="1" spans="1:6">
      <c r="A1058" s="9">
        <v>1055</v>
      </c>
      <c r="B1058" s="10" t="s">
        <v>666</v>
      </c>
      <c r="C1058" s="10" t="s">
        <v>667</v>
      </c>
      <c r="D1058" s="10" t="s">
        <v>1065</v>
      </c>
      <c r="E1058" s="10" t="str">
        <f>"644020240516143949183445"</f>
        <v>644020240516143949183445</v>
      </c>
      <c r="F1058" s="9"/>
    </row>
    <row r="1059" s="2" customFormat="1" ht="30" customHeight="1" spans="1:6">
      <c r="A1059" s="9">
        <v>1056</v>
      </c>
      <c r="B1059" s="10" t="s">
        <v>666</v>
      </c>
      <c r="C1059" s="10" t="s">
        <v>667</v>
      </c>
      <c r="D1059" s="10" t="s">
        <v>1066</v>
      </c>
      <c r="E1059" s="10" t="str">
        <f>"644020240513081403172226"</f>
        <v>644020240513081403172226</v>
      </c>
      <c r="F1059" s="9"/>
    </row>
    <row r="1060" s="2" customFormat="1" ht="30" customHeight="1" spans="1:6">
      <c r="A1060" s="9">
        <v>1057</v>
      </c>
      <c r="B1060" s="10" t="s">
        <v>666</v>
      </c>
      <c r="C1060" s="10" t="s">
        <v>667</v>
      </c>
      <c r="D1060" s="10" t="s">
        <v>1067</v>
      </c>
      <c r="E1060" s="10" t="str">
        <f>"644020240516152028183530"</f>
        <v>644020240516152028183530</v>
      </c>
      <c r="F1060" s="9"/>
    </row>
    <row r="1061" s="2" customFormat="1" ht="30" customHeight="1" spans="1:6">
      <c r="A1061" s="9">
        <v>1058</v>
      </c>
      <c r="B1061" s="10" t="s">
        <v>666</v>
      </c>
      <c r="C1061" s="10" t="s">
        <v>667</v>
      </c>
      <c r="D1061" s="10" t="s">
        <v>1068</v>
      </c>
      <c r="E1061" s="10" t="str">
        <f>"644020240516153707183559"</f>
        <v>644020240516153707183559</v>
      </c>
      <c r="F1061" s="9"/>
    </row>
    <row r="1062" s="2" customFormat="1" ht="30" customHeight="1" spans="1:6">
      <c r="A1062" s="9">
        <v>1059</v>
      </c>
      <c r="B1062" s="10" t="s">
        <v>666</v>
      </c>
      <c r="C1062" s="10" t="s">
        <v>667</v>
      </c>
      <c r="D1062" s="10" t="s">
        <v>1069</v>
      </c>
      <c r="E1062" s="10" t="str">
        <f>"644020240516154904183587"</f>
        <v>644020240516154904183587</v>
      </c>
      <c r="F1062" s="9"/>
    </row>
    <row r="1063" s="2" customFormat="1" ht="30" customHeight="1" spans="1:6">
      <c r="A1063" s="9">
        <v>1060</v>
      </c>
      <c r="B1063" s="10" t="s">
        <v>666</v>
      </c>
      <c r="C1063" s="10" t="s">
        <v>667</v>
      </c>
      <c r="D1063" s="10" t="s">
        <v>1070</v>
      </c>
      <c r="E1063" s="10" t="str">
        <f>"644020240513164158176007"</f>
        <v>644020240513164158176007</v>
      </c>
      <c r="F1063" s="9"/>
    </row>
    <row r="1064" s="2" customFormat="1" ht="30" customHeight="1" spans="1:6">
      <c r="A1064" s="9">
        <v>1061</v>
      </c>
      <c r="B1064" s="10" t="s">
        <v>666</v>
      </c>
      <c r="C1064" s="10" t="s">
        <v>667</v>
      </c>
      <c r="D1064" s="10" t="s">
        <v>1071</v>
      </c>
      <c r="E1064" s="10" t="str">
        <f>"644020240514094016178168"</f>
        <v>644020240514094016178168</v>
      </c>
      <c r="F1064" s="9"/>
    </row>
    <row r="1065" s="2" customFormat="1" ht="30" customHeight="1" spans="1:6">
      <c r="A1065" s="9">
        <v>1062</v>
      </c>
      <c r="B1065" s="10" t="s">
        <v>666</v>
      </c>
      <c r="C1065" s="10" t="s">
        <v>667</v>
      </c>
      <c r="D1065" s="10" t="s">
        <v>1072</v>
      </c>
      <c r="E1065" s="10" t="str">
        <f>"644020240516160157183621"</f>
        <v>644020240516160157183621</v>
      </c>
      <c r="F1065" s="9"/>
    </row>
    <row r="1066" s="2" customFormat="1" ht="30" customHeight="1" spans="1:6">
      <c r="A1066" s="9">
        <v>1063</v>
      </c>
      <c r="B1066" s="10" t="s">
        <v>666</v>
      </c>
      <c r="C1066" s="10" t="s">
        <v>667</v>
      </c>
      <c r="D1066" s="10" t="s">
        <v>1073</v>
      </c>
      <c r="E1066" s="10" t="str">
        <f>"644020240515183329182095"</f>
        <v>644020240515183329182095</v>
      </c>
      <c r="F1066" s="9"/>
    </row>
    <row r="1067" s="2" customFormat="1" ht="30" customHeight="1" spans="1:6">
      <c r="A1067" s="9">
        <v>1064</v>
      </c>
      <c r="B1067" s="10" t="s">
        <v>666</v>
      </c>
      <c r="C1067" s="10" t="s">
        <v>667</v>
      </c>
      <c r="D1067" s="10" t="s">
        <v>1074</v>
      </c>
      <c r="E1067" s="10" t="str">
        <f>"644020240516170627183779"</f>
        <v>644020240516170627183779</v>
      </c>
      <c r="F1067" s="9"/>
    </row>
    <row r="1068" s="2" customFormat="1" ht="30" customHeight="1" spans="1:6">
      <c r="A1068" s="9">
        <v>1065</v>
      </c>
      <c r="B1068" s="10" t="s">
        <v>666</v>
      </c>
      <c r="C1068" s="10" t="s">
        <v>667</v>
      </c>
      <c r="D1068" s="10" t="s">
        <v>1075</v>
      </c>
      <c r="E1068" s="10" t="str">
        <f>"644020240515192927182172"</f>
        <v>644020240515192927182172</v>
      </c>
      <c r="F1068" s="9"/>
    </row>
    <row r="1069" s="2" customFormat="1" ht="30" customHeight="1" spans="1:6">
      <c r="A1069" s="9">
        <v>1066</v>
      </c>
      <c r="B1069" s="10" t="s">
        <v>666</v>
      </c>
      <c r="C1069" s="10" t="s">
        <v>667</v>
      </c>
      <c r="D1069" s="10" t="s">
        <v>1076</v>
      </c>
      <c r="E1069" s="10" t="str">
        <f>"644020240516155928183615"</f>
        <v>644020240516155928183615</v>
      </c>
      <c r="F1069" s="9"/>
    </row>
    <row r="1070" s="2" customFormat="1" ht="30" customHeight="1" spans="1:6">
      <c r="A1070" s="9">
        <v>1067</v>
      </c>
      <c r="B1070" s="10" t="s">
        <v>666</v>
      </c>
      <c r="C1070" s="10" t="s">
        <v>667</v>
      </c>
      <c r="D1070" s="10" t="s">
        <v>1077</v>
      </c>
      <c r="E1070" s="10" t="str">
        <f>"644020240516184226183953"</f>
        <v>644020240516184226183953</v>
      </c>
      <c r="F1070" s="9"/>
    </row>
    <row r="1071" s="2" customFormat="1" ht="30" customHeight="1" spans="1:6">
      <c r="A1071" s="9">
        <v>1068</v>
      </c>
      <c r="B1071" s="10" t="s">
        <v>666</v>
      </c>
      <c r="C1071" s="10" t="s">
        <v>667</v>
      </c>
      <c r="D1071" s="10" t="s">
        <v>1078</v>
      </c>
      <c r="E1071" s="10" t="str">
        <f>"644020240516173010183830"</f>
        <v>644020240516173010183830</v>
      </c>
      <c r="F1071" s="9"/>
    </row>
    <row r="1072" s="2" customFormat="1" ht="30" customHeight="1" spans="1:6">
      <c r="A1072" s="9">
        <v>1069</v>
      </c>
      <c r="B1072" s="10" t="s">
        <v>666</v>
      </c>
      <c r="C1072" s="10" t="s">
        <v>667</v>
      </c>
      <c r="D1072" s="10" t="s">
        <v>1079</v>
      </c>
      <c r="E1072" s="10" t="str">
        <f>"644020240513154351175604"</f>
        <v>644020240513154351175604</v>
      </c>
      <c r="F1072" s="9"/>
    </row>
    <row r="1073" s="2" customFormat="1" ht="30" customHeight="1" spans="1:6">
      <c r="A1073" s="9">
        <v>1070</v>
      </c>
      <c r="B1073" s="10" t="s">
        <v>666</v>
      </c>
      <c r="C1073" s="10" t="s">
        <v>667</v>
      </c>
      <c r="D1073" s="10" t="s">
        <v>1080</v>
      </c>
      <c r="E1073" s="10" t="str">
        <f>"644020240516142923183426"</f>
        <v>644020240516142923183426</v>
      </c>
      <c r="F1073" s="9"/>
    </row>
    <row r="1074" s="2" customFormat="1" ht="30" customHeight="1" spans="1:6">
      <c r="A1074" s="9">
        <v>1071</v>
      </c>
      <c r="B1074" s="10" t="s">
        <v>666</v>
      </c>
      <c r="C1074" s="10" t="s">
        <v>667</v>
      </c>
      <c r="D1074" s="10" t="s">
        <v>1081</v>
      </c>
      <c r="E1074" s="10" t="str">
        <f>"644020240516144802183458"</f>
        <v>644020240516144802183458</v>
      </c>
      <c r="F1074" s="9"/>
    </row>
    <row r="1075" s="2" customFormat="1" ht="30" customHeight="1" spans="1:6">
      <c r="A1075" s="9">
        <v>1072</v>
      </c>
      <c r="B1075" s="10" t="s">
        <v>666</v>
      </c>
      <c r="C1075" s="10" t="s">
        <v>667</v>
      </c>
      <c r="D1075" s="10" t="s">
        <v>1082</v>
      </c>
      <c r="E1075" s="10" t="str">
        <f>"644020240516192457184010"</f>
        <v>644020240516192457184010</v>
      </c>
      <c r="F1075" s="9"/>
    </row>
    <row r="1076" s="2" customFormat="1" ht="30" customHeight="1" spans="1:6">
      <c r="A1076" s="9">
        <v>1073</v>
      </c>
      <c r="B1076" s="10" t="s">
        <v>666</v>
      </c>
      <c r="C1076" s="10" t="s">
        <v>667</v>
      </c>
      <c r="D1076" s="10" t="s">
        <v>1083</v>
      </c>
      <c r="E1076" s="10" t="str">
        <f>"644020240513154325175598"</f>
        <v>644020240513154325175598</v>
      </c>
      <c r="F1076" s="9"/>
    </row>
    <row r="1077" s="2" customFormat="1" ht="30" customHeight="1" spans="1:6">
      <c r="A1077" s="9">
        <v>1074</v>
      </c>
      <c r="B1077" s="10" t="s">
        <v>666</v>
      </c>
      <c r="C1077" s="10" t="s">
        <v>667</v>
      </c>
      <c r="D1077" s="10" t="s">
        <v>1084</v>
      </c>
      <c r="E1077" s="10" t="str">
        <f>"644020240515234636182601"</f>
        <v>644020240515234636182601</v>
      </c>
      <c r="F1077" s="9"/>
    </row>
    <row r="1078" s="2" customFormat="1" ht="30" customHeight="1" spans="1:6">
      <c r="A1078" s="9">
        <v>1075</v>
      </c>
      <c r="B1078" s="10" t="s">
        <v>666</v>
      </c>
      <c r="C1078" s="10" t="s">
        <v>667</v>
      </c>
      <c r="D1078" s="10" t="s">
        <v>1085</v>
      </c>
      <c r="E1078" s="10" t="str">
        <f>"644020240514214812180262"</f>
        <v>644020240514214812180262</v>
      </c>
      <c r="F1078" s="9"/>
    </row>
    <row r="1079" s="2" customFormat="1" ht="30" customHeight="1" spans="1:6">
      <c r="A1079" s="9">
        <v>1076</v>
      </c>
      <c r="B1079" s="10" t="s">
        <v>666</v>
      </c>
      <c r="C1079" s="10" t="s">
        <v>667</v>
      </c>
      <c r="D1079" s="10" t="s">
        <v>1086</v>
      </c>
      <c r="E1079" s="10" t="str">
        <f>"644020240516203031184059"</f>
        <v>644020240516203031184059</v>
      </c>
      <c r="F1079" s="9"/>
    </row>
    <row r="1080" s="2" customFormat="1" ht="30" customHeight="1" spans="1:6">
      <c r="A1080" s="9">
        <v>1077</v>
      </c>
      <c r="B1080" s="10" t="s">
        <v>666</v>
      </c>
      <c r="C1080" s="10" t="s">
        <v>667</v>
      </c>
      <c r="D1080" s="10" t="s">
        <v>1087</v>
      </c>
      <c r="E1080" s="10" t="str">
        <f>"644020240514222907180371"</f>
        <v>644020240514222907180371</v>
      </c>
      <c r="F1080" s="9"/>
    </row>
    <row r="1081" s="2" customFormat="1" ht="30" customHeight="1" spans="1:6">
      <c r="A1081" s="9">
        <v>1078</v>
      </c>
      <c r="B1081" s="10" t="s">
        <v>666</v>
      </c>
      <c r="C1081" s="10" t="s">
        <v>667</v>
      </c>
      <c r="D1081" s="10" t="s">
        <v>1088</v>
      </c>
      <c r="E1081" s="10" t="str">
        <f>"644020240516202738184049"</f>
        <v>644020240516202738184049</v>
      </c>
      <c r="F1081" s="9"/>
    </row>
    <row r="1082" s="2" customFormat="1" ht="30" customHeight="1" spans="1:6">
      <c r="A1082" s="9">
        <v>1079</v>
      </c>
      <c r="B1082" s="10" t="s">
        <v>666</v>
      </c>
      <c r="C1082" s="10" t="s">
        <v>667</v>
      </c>
      <c r="D1082" s="10" t="s">
        <v>1089</v>
      </c>
      <c r="E1082" s="10" t="str">
        <f>"644020240516190030183975"</f>
        <v>644020240516190030183975</v>
      </c>
      <c r="F1082" s="9"/>
    </row>
    <row r="1083" s="2" customFormat="1" ht="30" customHeight="1" spans="1:6">
      <c r="A1083" s="9">
        <v>1080</v>
      </c>
      <c r="B1083" s="10" t="s">
        <v>666</v>
      </c>
      <c r="C1083" s="10" t="s">
        <v>667</v>
      </c>
      <c r="D1083" s="10" t="s">
        <v>1090</v>
      </c>
      <c r="E1083" s="10" t="str">
        <f>"644020240512094450168303"</f>
        <v>644020240512094450168303</v>
      </c>
      <c r="F1083" s="9"/>
    </row>
    <row r="1084" s="2" customFormat="1" ht="30" customHeight="1" spans="1:6">
      <c r="A1084" s="9">
        <v>1081</v>
      </c>
      <c r="B1084" s="10" t="s">
        <v>666</v>
      </c>
      <c r="C1084" s="10" t="s">
        <v>667</v>
      </c>
      <c r="D1084" s="10" t="s">
        <v>1091</v>
      </c>
      <c r="E1084" s="10" t="str">
        <f>"644020240512111946168828"</f>
        <v>644020240512111946168828</v>
      </c>
      <c r="F1084" s="9"/>
    </row>
    <row r="1085" s="2" customFormat="1" ht="30" customHeight="1" spans="1:6">
      <c r="A1085" s="9">
        <v>1082</v>
      </c>
      <c r="B1085" s="10" t="s">
        <v>666</v>
      </c>
      <c r="C1085" s="10" t="s">
        <v>667</v>
      </c>
      <c r="D1085" s="10" t="s">
        <v>1092</v>
      </c>
      <c r="E1085" s="10" t="str">
        <f>"644020240516212718184126"</f>
        <v>644020240516212718184126</v>
      </c>
      <c r="F1085" s="9"/>
    </row>
    <row r="1086" s="2" customFormat="1" ht="30" customHeight="1" spans="1:6">
      <c r="A1086" s="9">
        <v>1083</v>
      </c>
      <c r="B1086" s="10" t="s">
        <v>666</v>
      </c>
      <c r="C1086" s="10" t="s">
        <v>667</v>
      </c>
      <c r="D1086" s="10" t="s">
        <v>1093</v>
      </c>
      <c r="E1086" s="10" t="str">
        <f>"644020240515002523180599"</f>
        <v>644020240515002523180599</v>
      </c>
      <c r="F1086" s="9"/>
    </row>
    <row r="1087" s="2" customFormat="1" ht="30" customHeight="1" spans="1:6">
      <c r="A1087" s="9">
        <v>1084</v>
      </c>
      <c r="B1087" s="10" t="s">
        <v>666</v>
      </c>
      <c r="C1087" s="10" t="s">
        <v>667</v>
      </c>
      <c r="D1087" s="10" t="s">
        <v>1094</v>
      </c>
      <c r="E1087" s="10" t="str">
        <f>"644020240513140420174816"</f>
        <v>644020240513140420174816</v>
      </c>
      <c r="F1087" s="9"/>
    </row>
    <row r="1088" s="2" customFormat="1" ht="30" customHeight="1" spans="1:6">
      <c r="A1088" s="9">
        <v>1085</v>
      </c>
      <c r="B1088" s="10" t="s">
        <v>666</v>
      </c>
      <c r="C1088" s="10" t="s">
        <v>667</v>
      </c>
      <c r="D1088" s="10" t="s">
        <v>1095</v>
      </c>
      <c r="E1088" s="10" t="str">
        <f>"644020240512230230171689"</f>
        <v>644020240512230230171689</v>
      </c>
      <c r="F1088" s="9"/>
    </row>
    <row r="1089" s="2" customFormat="1" ht="30" customHeight="1" spans="1:6">
      <c r="A1089" s="9">
        <v>1086</v>
      </c>
      <c r="B1089" s="10" t="s">
        <v>666</v>
      </c>
      <c r="C1089" s="10" t="s">
        <v>667</v>
      </c>
      <c r="D1089" s="10" t="s">
        <v>1096</v>
      </c>
      <c r="E1089" s="10" t="str">
        <f>"644020240516110257183110"</f>
        <v>644020240516110257183110</v>
      </c>
      <c r="F1089" s="9"/>
    </row>
    <row r="1090" s="2" customFormat="1" ht="30" customHeight="1" spans="1:6">
      <c r="A1090" s="9">
        <v>1087</v>
      </c>
      <c r="B1090" s="10" t="s">
        <v>666</v>
      </c>
      <c r="C1090" s="10" t="s">
        <v>667</v>
      </c>
      <c r="D1090" s="10" t="s">
        <v>1097</v>
      </c>
      <c r="E1090" s="10" t="str">
        <f>"644020240513012012172040"</f>
        <v>644020240513012012172040</v>
      </c>
      <c r="F1090" s="9"/>
    </row>
    <row r="1091" s="2" customFormat="1" ht="30" customHeight="1" spans="1:6">
      <c r="A1091" s="9">
        <v>1088</v>
      </c>
      <c r="B1091" s="10" t="s">
        <v>666</v>
      </c>
      <c r="C1091" s="10" t="s">
        <v>667</v>
      </c>
      <c r="D1091" s="10" t="s">
        <v>1098</v>
      </c>
      <c r="E1091" s="10" t="str">
        <f>"644020240516094123182904"</f>
        <v>644020240516094123182904</v>
      </c>
      <c r="F1091" s="9"/>
    </row>
    <row r="1092" s="2" customFormat="1" ht="30" customHeight="1" spans="1:6">
      <c r="A1092" s="9">
        <v>1089</v>
      </c>
      <c r="B1092" s="10" t="s">
        <v>666</v>
      </c>
      <c r="C1092" s="10" t="s">
        <v>667</v>
      </c>
      <c r="D1092" s="10" t="s">
        <v>1099</v>
      </c>
      <c r="E1092" s="10" t="str">
        <f>"644020240516161301183644"</f>
        <v>644020240516161301183644</v>
      </c>
      <c r="F1092" s="9"/>
    </row>
    <row r="1093" s="2" customFormat="1" ht="30" customHeight="1" spans="1:6">
      <c r="A1093" s="9">
        <v>1090</v>
      </c>
      <c r="B1093" s="10" t="s">
        <v>666</v>
      </c>
      <c r="C1093" s="10" t="s">
        <v>667</v>
      </c>
      <c r="D1093" s="10" t="s">
        <v>1100</v>
      </c>
      <c r="E1093" s="10" t="str">
        <f>"644020240516154344183573"</f>
        <v>644020240516154344183573</v>
      </c>
      <c r="F1093" s="9"/>
    </row>
    <row r="1094" s="2" customFormat="1" ht="30" customHeight="1" spans="1:6">
      <c r="A1094" s="9">
        <v>1091</v>
      </c>
      <c r="B1094" s="10" t="s">
        <v>666</v>
      </c>
      <c r="C1094" s="10" t="s">
        <v>667</v>
      </c>
      <c r="D1094" s="10" t="s">
        <v>1101</v>
      </c>
      <c r="E1094" s="10" t="str">
        <f>"644020240514160806179420"</f>
        <v>644020240514160806179420</v>
      </c>
      <c r="F1094" s="9"/>
    </row>
    <row r="1095" s="2" customFormat="1" ht="30" customHeight="1" spans="1:6">
      <c r="A1095" s="9">
        <v>1092</v>
      </c>
      <c r="B1095" s="10" t="s">
        <v>666</v>
      </c>
      <c r="C1095" s="10" t="s">
        <v>667</v>
      </c>
      <c r="D1095" s="10" t="s">
        <v>1102</v>
      </c>
      <c r="E1095" s="10" t="str">
        <f>"644020240513210059176963"</f>
        <v>644020240513210059176963</v>
      </c>
      <c r="F1095" s="9"/>
    </row>
    <row r="1096" s="2" customFormat="1" ht="30" customHeight="1" spans="1:6">
      <c r="A1096" s="9">
        <v>1093</v>
      </c>
      <c r="B1096" s="10" t="s">
        <v>666</v>
      </c>
      <c r="C1096" s="10" t="s">
        <v>667</v>
      </c>
      <c r="D1096" s="10" t="s">
        <v>1103</v>
      </c>
      <c r="E1096" s="10" t="str">
        <f>"644020240516235340184447"</f>
        <v>644020240516235340184447</v>
      </c>
      <c r="F1096" s="9"/>
    </row>
    <row r="1097" s="2" customFormat="1" ht="30" customHeight="1" spans="1:6">
      <c r="A1097" s="9">
        <v>1094</v>
      </c>
      <c r="B1097" s="10" t="s">
        <v>666</v>
      </c>
      <c r="C1097" s="10" t="s">
        <v>667</v>
      </c>
      <c r="D1097" s="10" t="s">
        <v>1104</v>
      </c>
      <c r="E1097" s="10" t="str">
        <f>"644020240512164937170075"</f>
        <v>644020240512164937170075</v>
      </c>
      <c r="F1097" s="9"/>
    </row>
    <row r="1098" s="2" customFormat="1" ht="30" customHeight="1" spans="1:6">
      <c r="A1098" s="9">
        <v>1095</v>
      </c>
      <c r="B1098" s="10" t="s">
        <v>666</v>
      </c>
      <c r="C1098" s="10" t="s">
        <v>667</v>
      </c>
      <c r="D1098" s="10" t="s">
        <v>1105</v>
      </c>
      <c r="E1098" s="10" t="str">
        <f>"644020240513081000172215"</f>
        <v>644020240513081000172215</v>
      </c>
      <c r="F1098" s="9"/>
    </row>
    <row r="1099" s="2" customFormat="1" ht="30" customHeight="1" spans="1:6">
      <c r="A1099" s="9">
        <v>1096</v>
      </c>
      <c r="B1099" s="10" t="s">
        <v>666</v>
      </c>
      <c r="C1099" s="10" t="s">
        <v>667</v>
      </c>
      <c r="D1099" s="10" t="s">
        <v>1106</v>
      </c>
      <c r="E1099" s="10" t="str">
        <f>"644020240517024453184554"</f>
        <v>644020240517024453184554</v>
      </c>
      <c r="F1099" s="9"/>
    </row>
    <row r="1100" s="2" customFormat="1" ht="30" customHeight="1" spans="1:6">
      <c r="A1100" s="9">
        <v>1097</v>
      </c>
      <c r="B1100" s="10" t="s">
        <v>666</v>
      </c>
      <c r="C1100" s="10" t="s">
        <v>667</v>
      </c>
      <c r="D1100" s="10" t="s">
        <v>1107</v>
      </c>
      <c r="E1100" s="10" t="str">
        <f>"644020240516152813183550"</f>
        <v>644020240516152813183550</v>
      </c>
      <c r="F1100" s="9"/>
    </row>
    <row r="1101" s="2" customFormat="1" ht="30" customHeight="1" spans="1:6">
      <c r="A1101" s="9">
        <v>1098</v>
      </c>
      <c r="B1101" s="10" t="s">
        <v>666</v>
      </c>
      <c r="C1101" s="10" t="s">
        <v>667</v>
      </c>
      <c r="D1101" s="10" t="s">
        <v>1108</v>
      </c>
      <c r="E1101" s="10" t="str">
        <f>"644020240517073858184581"</f>
        <v>644020240517073858184581</v>
      </c>
      <c r="F1101" s="9"/>
    </row>
    <row r="1102" s="2" customFormat="1" ht="30" customHeight="1" spans="1:6">
      <c r="A1102" s="9">
        <v>1099</v>
      </c>
      <c r="B1102" s="10" t="s">
        <v>666</v>
      </c>
      <c r="C1102" s="10" t="s">
        <v>667</v>
      </c>
      <c r="D1102" s="10" t="s">
        <v>1109</v>
      </c>
      <c r="E1102" s="10" t="str">
        <f>"644020240517092654184738"</f>
        <v>644020240517092654184738</v>
      </c>
      <c r="F1102" s="9"/>
    </row>
    <row r="1103" s="2" customFormat="1" ht="30" customHeight="1" spans="1:6">
      <c r="A1103" s="9">
        <v>1100</v>
      </c>
      <c r="B1103" s="10" t="s">
        <v>666</v>
      </c>
      <c r="C1103" s="10" t="s">
        <v>667</v>
      </c>
      <c r="D1103" s="10" t="s">
        <v>1110</v>
      </c>
      <c r="E1103" s="10" t="str">
        <f>"644020240517092101184725"</f>
        <v>644020240517092101184725</v>
      </c>
      <c r="F1103" s="9"/>
    </row>
    <row r="1104" s="2" customFormat="1" ht="30" customHeight="1" spans="1:6">
      <c r="A1104" s="9">
        <v>1101</v>
      </c>
      <c r="B1104" s="10" t="s">
        <v>666</v>
      </c>
      <c r="C1104" s="10" t="s">
        <v>667</v>
      </c>
      <c r="D1104" s="10" t="s">
        <v>1111</v>
      </c>
      <c r="E1104" s="10" t="str">
        <f>"644020240516185758183973"</f>
        <v>644020240516185758183973</v>
      </c>
      <c r="F1104" s="9"/>
    </row>
    <row r="1105" s="2" customFormat="1" ht="30" customHeight="1" spans="1:6">
      <c r="A1105" s="9">
        <v>1102</v>
      </c>
      <c r="B1105" s="10" t="s">
        <v>666</v>
      </c>
      <c r="C1105" s="10" t="s">
        <v>667</v>
      </c>
      <c r="D1105" s="10" t="s">
        <v>774</v>
      </c>
      <c r="E1105" s="10" t="str">
        <f>"644020240516075954182734"</f>
        <v>644020240516075954182734</v>
      </c>
      <c r="F1105" s="9"/>
    </row>
    <row r="1106" s="2" customFormat="1" ht="30" customHeight="1" spans="1:6">
      <c r="A1106" s="9">
        <v>1103</v>
      </c>
      <c r="B1106" s="10" t="s">
        <v>666</v>
      </c>
      <c r="C1106" s="10" t="s">
        <v>667</v>
      </c>
      <c r="D1106" s="10" t="s">
        <v>1112</v>
      </c>
      <c r="E1106" s="10" t="str">
        <f>"644020240517100800184828"</f>
        <v>644020240517100800184828</v>
      </c>
      <c r="F1106" s="9"/>
    </row>
    <row r="1107" s="2" customFormat="1" ht="30" customHeight="1" spans="1:6">
      <c r="A1107" s="9">
        <v>1104</v>
      </c>
      <c r="B1107" s="10" t="s">
        <v>666</v>
      </c>
      <c r="C1107" s="10" t="s">
        <v>667</v>
      </c>
      <c r="D1107" s="10" t="s">
        <v>1113</v>
      </c>
      <c r="E1107" s="10" t="str">
        <f>"644020240517092319184729"</f>
        <v>644020240517092319184729</v>
      </c>
      <c r="F1107" s="9"/>
    </row>
    <row r="1108" s="2" customFormat="1" ht="30" customHeight="1" spans="1:6">
      <c r="A1108" s="9">
        <v>1105</v>
      </c>
      <c r="B1108" s="10" t="s">
        <v>666</v>
      </c>
      <c r="C1108" s="10" t="s">
        <v>667</v>
      </c>
      <c r="D1108" s="10" t="s">
        <v>1114</v>
      </c>
      <c r="E1108" s="10" t="str">
        <f>"644020240513151044175280"</f>
        <v>644020240513151044175280</v>
      </c>
      <c r="F1108" s="9"/>
    </row>
    <row r="1109" s="2" customFormat="1" ht="30" customHeight="1" spans="1:6">
      <c r="A1109" s="9">
        <v>1106</v>
      </c>
      <c r="B1109" s="10" t="s">
        <v>666</v>
      </c>
      <c r="C1109" s="10" t="s">
        <v>667</v>
      </c>
      <c r="D1109" s="10" t="s">
        <v>1115</v>
      </c>
      <c r="E1109" s="10" t="str">
        <f>"644020240517085845184682"</f>
        <v>644020240517085845184682</v>
      </c>
      <c r="F1109" s="9"/>
    </row>
    <row r="1110" s="2" customFormat="1" ht="30" customHeight="1" spans="1:6">
      <c r="A1110" s="9">
        <v>1107</v>
      </c>
      <c r="B1110" s="10" t="s">
        <v>666</v>
      </c>
      <c r="C1110" s="10" t="s">
        <v>667</v>
      </c>
      <c r="D1110" s="10" t="s">
        <v>1116</v>
      </c>
      <c r="E1110" s="10" t="str">
        <f>"644020240515133756181476"</f>
        <v>644020240515133756181476</v>
      </c>
      <c r="F1110" s="9"/>
    </row>
    <row r="1111" s="2" customFormat="1" ht="30" customHeight="1" spans="1:6">
      <c r="A1111" s="9">
        <v>1108</v>
      </c>
      <c r="B1111" s="10" t="s">
        <v>666</v>
      </c>
      <c r="C1111" s="10" t="s">
        <v>667</v>
      </c>
      <c r="D1111" s="10" t="s">
        <v>1117</v>
      </c>
      <c r="E1111" s="10" t="str">
        <f>"644020240517101709184855"</f>
        <v>644020240517101709184855</v>
      </c>
      <c r="F1111" s="9"/>
    </row>
    <row r="1112" s="2" customFormat="1" ht="30" customHeight="1" spans="1:6">
      <c r="A1112" s="9">
        <v>1109</v>
      </c>
      <c r="B1112" s="10" t="s">
        <v>666</v>
      </c>
      <c r="C1112" s="10" t="s">
        <v>667</v>
      </c>
      <c r="D1112" s="10" t="s">
        <v>1118</v>
      </c>
      <c r="E1112" s="10" t="str">
        <f>"644020240517093454184757"</f>
        <v>644020240517093454184757</v>
      </c>
      <c r="F1112" s="9"/>
    </row>
    <row r="1113" s="2" customFormat="1" ht="30" customHeight="1" spans="1:6">
      <c r="A1113" s="9">
        <v>1110</v>
      </c>
      <c r="B1113" s="10" t="s">
        <v>666</v>
      </c>
      <c r="C1113" s="10" t="s">
        <v>667</v>
      </c>
      <c r="D1113" s="10" t="s">
        <v>1119</v>
      </c>
      <c r="E1113" s="10" t="str">
        <f>"644020240517092955184745"</f>
        <v>644020240517092955184745</v>
      </c>
      <c r="F1113" s="9"/>
    </row>
    <row r="1114" s="2" customFormat="1" ht="30" customHeight="1" spans="1:6">
      <c r="A1114" s="9">
        <v>1111</v>
      </c>
      <c r="B1114" s="10" t="s">
        <v>666</v>
      </c>
      <c r="C1114" s="10" t="s">
        <v>667</v>
      </c>
      <c r="D1114" s="10" t="s">
        <v>1120</v>
      </c>
      <c r="E1114" s="10" t="str">
        <f>"644020240515144306181580"</f>
        <v>644020240515144306181580</v>
      </c>
      <c r="F1114" s="9"/>
    </row>
    <row r="1115" s="2" customFormat="1" ht="30" customHeight="1" spans="1:6">
      <c r="A1115" s="9">
        <v>1112</v>
      </c>
      <c r="B1115" s="10" t="s">
        <v>666</v>
      </c>
      <c r="C1115" s="10" t="s">
        <v>667</v>
      </c>
      <c r="D1115" s="10" t="s">
        <v>1121</v>
      </c>
      <c r="E1115" s="10" t="str">
        <f>"644020240517092949184744"</f>
        <v>644020240517092949184744</v>
      </c>
      <c r="F1115" s="9"/>
    </row>
    <row r="1116" s="2" customFormat="1" ht="30" customHeight="1" spans="1:6">
      <c r="A1116" s="9">
        <v>1113</v>
      </c>
      <c r="B1116" s="10" t="s">
        <v>666</v>
      </c>
      <c r="C1116" s="10" t="s">
        <v>667</v>
      </c>
      <c r="D1116" s="10" t="s">
        <v>1122</v>
      </c>
      <c r="E1116" s="10" t="str">
        <f>"644020240516221349184254"</f>
        <v>644020240516221349184254</v>
      </c>
      <c r="F1116" s="9"/>
    </row>
    <row r="1117" s="2" customFormat="1" ht="30" customHeight="1" spans="1:6">
      <c r="A1117" s="9">
        <v>1114</v>
      </c>
      <c r="B1117" s="10" t="s">
        <v>666</v>
      </c>
      <c r="C1117" s="10" t="s">
        <v>667</v>
      </c>
      <c r="D1117" s="10" t="s">
        <v>1123</v>
      </c>
      <c r="E1117" s="10" t="str">
        <f>"644020240517110951184971"</f>
        <v>644020240517110951184971</v>
      </c>
      <c r="F1117" s="9"/>
    </row>
    <row r="1118" s="2" customFormat="1" ht="30" customHeight="1" spans="1:6">
      <c r="A1118" s="9">
        <v>1115</v>
      </c>
      <c r="B1118" s="10" t="s">
        <v>666</v>
      </c>
      <c r="C1118" s="10" t="s">
        <v>667</v>
      </c>
      <c r="D1118" s="10" t="s">
        <v>1124</v>
      </c>
      <c r="E1118" s="10" t="str">
        <f>"644020240517095447184798"</f>
        <v>644020240517095447184798</v>
      </c>
      <c r="F1118" s="9"/>
    </row>
    <row r="1119" s="2" customFormat="1" ht="30" customHeight="1" spans="1:6">
      <c r="A1119" s="9">
        <v>1116</v>
      </c>
      <c r="B1119" s="10" t="s">
        <v>666</v>
      </c>
      <c r="C1119" s="10" t="s">
        <v>667</v>
      </c>
      <c r="D1119" s="10" t="s">
        <v>1125</v>
      </c>
      <c r="E1119" s="10" t="str">
        <f>"644020240514085056177919"</f>
        <v>644020240514085056177919</v>
      </c>
      <c r="F1119" s="9"/>
    </row>
    <row r="1120" s="2" customFormat="1" ht="30" customHeight="1" spans="1:6">
      <c r="A1120" s="9">
        <v>1117</v>
      </c>
      <c r="B1120" s="10" t="s">
        <v>666</v>
      </c>
      <c r="C1120" s="10" t="s">
        <v>667</v>
      </c>
      <c r="D1120" s="10" t="s">
        <v>1126</v>
      </c>
      <c r="E1120" s="10" t="str">
        <f>"644020240517083632184644"</f>
        <v>644020240517083632184644</v>
      </c>
      <c r="F1120" s="9"/>
    </row>
    <row r="1121" s="2" customFormat="1" ht="30" customHeight="1" spans="1:6">
      <c r="A1121" s="9">
        <v>1118</v>
      </c>
      <c r="B1121" s="10" t="s">
        <v>666</v>
      </c>
      <c r="C1121" s="10" t="s">
        <v>667</v>
      </c>
      <c r="D1121" s="10" t="s">
        <v>1127</v>
      </c>
      <c r="E1121" s="10" t="str">
        <f>"644020240517084718184658"</f>
        <v>644020240517084718184658</v>
      </c>
      <c r="F1121" s="9"/>
    </row>
    <row r="1122" s="2" customFormat="1" ht="30" customHeight="1" spans="1:6">
      <c r="A1122" s="9">
        <v>1119</v>
      </c>
      <c r="B1122" s="10" t="s">
        <v>666</v>
      </c>
      <c r="C1122" s="10" t="s">
        <v>667</v>
      </c>
      <c r="D1122" s="10" t="s">
        <v>1128</v>
      </c>
      <c r="E1122" s="10" t="str">
        <f>"644020240517110736184967"</f>
        <v>644020240517110736184967</v>
      </c>
      <c r="F1122" s="9"/>
    </row>
    <row r="1123" s="2" customFormat="1" ht="30" customHeight="1" spans="1:6">
      <c r="A1123" s="9">
        <v>1120</v>
      </c>
      <c r="B1123" s="10" t="s">
        <v>666</v>
      </c>
      <c r="C1123" s="10" t="s">
        <v>667</v>
      </c>
      <c r="D1123" s="10" t="s">
        <v>1129</v>
      </c>
      <c r="E1123" s="10" t="str">
        <f>"644020240517113205185026"</f>
        <v>644020240517113205185026</v>
      </c>
      <c r="F1123" s="9"/>
    </row>
    <row r="1124" s="2" customFormat="1" ht="30" customHeight="1" spans="1:6">
      <c r="A1124" s="9">
        <v>1121</v>
      </c>
      <c r="B1124" s="10" t="s">
        <v>666</v>
      </c>
      <c r="C1124" s="10" t="s">
        <v>667</v>
      </c>
      <c r="D1124" s="10" t="s">
        <v>1130</v>
      </c>
      <c r="E1124" s="10" t="str">
        <f>"644020240517105646184942"</f>
        <v>644020240517105646184942</v>
      </c>
      <c r="F1124" s="9"/>
    </row>
    <row r="1125" s="2" customFormat="1" ht="30" customHeight="1" spans="1:6">
      <c r="A1125" s="9">
        <v>1122</v>
      </c>
      <c r="B1125" s="10" t="s">
        <v>666</v>
      </c>
      <c r="C1125" s="10" t="s">
        <v>667</v>
      </c>
      <c r="D1125" s="10" t="s">
        <v>1131</v>
      </c>
      <c r="E1125" s="10" t="str">
        <f>"644020240517105223184931"</f>
        <v>644020240517105223184931</v>
      </c>
      <c r="F1125" s="9"/>
    </row>
    <row r="1126" s="2" customFormat="1" ht="30" customHeight="1" spans="1:6">
      <c r="A1126" s="9">
        <v>1123</v>
      </c>
      <c r="B1126" s="10" t="s">
        <v>666</v>
      </c>
      <c r="C1126" s="10" t="s">
        <v>667</v>
      </c>
      <c r="D1126" s="10" t="s">
        <v>1132</v>
      </c>
      <c r="E1126" s="10" t="str">
        <f>"644020240512110817168763"</f>
        <v>644020240512110817168763</v>
      </c>
      <c r="F1126" s="9"/>
    </row>
    <row r="1127" s="2" customFormat="1" ht="30" customHeight="1" spans="1:6">
      <c r="A1127" s="9">
        <v>1124</v>
      </c>
      <c r="B1127" s="10" t="s">
        <v>666</v>
      </c>
      <c r="C1127" s="10" t="s">
        <v>667</v>
      </c>
      <c r="D1127" s="10" t="s">
        <v>1133</v>
      </c>
      <c r="E1127" s="10" t="str">
        <f>"644020240517001124184473"</f>
        <v>644020240517001124184473</v>
      </c>
      <c r="F1127" s="9"/>
    </row>
    <row r="1128" s="2" customFormat="1" ht="30" customHeight="1" spans="1:6">
      <c r="A1128" s="9">
        <v>1125</v>
      </c>
      <c r="B1128" s="10" t="s">
        <v>666</v>
      </c>
      <c r="C1128" s="10" t="s">
        <v>667</v>
      </c>
      <c r="D1128" s="10" t="s">
        <v>1134</v>
      </c>
      <c r="E1128" s="10" t="str">
        <f>"644020240514104635178536"</f>
        <v>644020240514104635178536</v>
      </c>
      <c r="F1128" s="9"/>
    </row>
    <row r="1129" s="2" customFormat="1" ht="30" customHeight="1" spans="1:6">
      <c r="A1129" s="9">
        <v>1126</v>
      </c>
      <c r="B1129" s="10" t="s">
        <v>666</v>
      </c>
      <c r="C1129" s="10" t="s">
        <v>667</v>
      </c>
      <c r="D1129" s="10" t="s">
        <v>1135</v>
      </c>
      <c r="E1129" s="10" t="str">
        <f>"644020240517103924184901"</f>
        <v>644020240517103924184901</v>
      </c>
      <c r="F1129" s="9"/>
    </row>
    <row r="1130" s="2" customFormat="1" ht="30" customHeight="1" spans="1:6">
      <c r="A1130" s="9">
        <v>1127</v>
      </c>
      <c r="B1130" s="10" t="s">
        <v>666</v>
      </c>
      <c r="C1130" s="10" t="s">
        <v>667</v>
      </c>
      <c r="D1130" s="10" t="s">
        <v>1136</v>
      </c>
      <c r="E1130" s="10" t="str">
        <f>"644020240517124458185163"</f>
        <v>644020240517124458185163</v>
      </c>
      <c r="F1130" s="9"/>
    </row>
    <row r="1131" s="2" customFormat="1" ht="30" customHeight="1" spans="1:6">
      <c r="A1131" s="9">
        <v>1128</v>
      </c>
      <c r="B1131" s="10" t="s">
        <v>666</v>
      </c>
      <c r="C1131" s="10" t="s">
        <v>667</v>
      </c>
      <c r="D1131" s="10" t="s">
        <v>1137</v>
      </c>
      <c r="E1131" s="10" t="str">
        <f>"644020240517122700185124"</f>
        <v>644020240517122700185124</v>
      </c>
      <c r="F1131" s="9"/>
    </row>
    <row r="1132" s="2" customFormat="1" ht="30" customHeight="1" spans="1:6">
      <c r="A1132" s="9">
        <v>1129</v>
      </c>
      <c r="B1132" s="10" t="s">
        <v>666</v>
      </c>
      <c r="C1132" s="10" t="s">
        <v>667</v>
      </c>
      <c r="D1132" s="10" t="s">
        <v>1138</v>
      </c>
      <c r="E1132" s="10" t="str">
        <f>"644020240512182036170360"</f>
        <v>644020240512182036170360</v>
      </c>
      <c r="F1132" s="9"/>
    </row>
    <row r="1133" s="2" customFormat="1" ht="30" customHeight="1" spans="1:6">
      <c r="A1133" s="9">
        <v>1130</v>
      </c>
      <c r="B1133" s="10" t="s">
        <v>666</v>
      </c>
      <c r="C1133" s="10" t="s">
        <v>667</v>
      </c>
      <c r="D1133" s="10" t="s">
        <v>1139</v>
      </c>
      <c r="E1133" s="10" t="str">
        <f>"644020240517123627185144"</f>
        <v>644020240517123627185144</v>
      </c>
      <c r="F1133" s="9"/>
    </row>
    <row r="1134" s="2" customFormat="1" ht="30" customHeight="1" spans="1:6">
      <c r="A1134" s="9">
        <v>1131</v>
      </c>
      <c r="B1134" s="10" t="s">
        <v>666</v>
      </c>
      <c r="C1134" s="10" t="s">
        <v>667</v>
      </c>
      <c r="D1134" s="10" t="s">
        <v>1140</v>
      </c>
      <c r="E1134" s="10" t="str">
        <f>"644020240517141359185335"</f>
        <v>644020240517141359185335</v>
      </c>
      <c r="F1134" s="9"/>
    </row>
    <row r="1135" s="2" customFormat="1" ht="30" customHeight="1" spans="1:6">
      <c r="A1135" s="9">
        <v>1132</v>
      </c>
      <c r="B1135" s="10" t="s">
        <v>666</v>
      </c>
      <c r="C1135" s="10" t="s">
        <v>667</v>
      </c>
      <c r="D1135" s="10" t="s">
        <v>1141</v>
      </c>
      <c r="E1135" s="10" t="str">
        <f>"644020240514124251178920"</f>
        <v>644020240514124251178920</v>
      </c>
      <c r="F1135" s="9"/>
    </row>
    <row r="1136" s="2" customFormat="1" ht="30" customHeight="1" spans="1:6">
      <c r="A1136" s="9">
        <v>1133</v>
      </c>
      <c r="B1136" s="10" t="s">
        <v>666</v>
      </c>
      <c r="C1136" s="10" t="s">
        <v>667</v>
      </c>
      <c r="D1136" s="10" t="s">
        <v>1142</v>
      </c>
      <c r="E1136" s="10" t="str">
        <f>"644020240514091610178047"</f>
        <v>644020240514091610178047</v>
      </c>
      <c r="F1136" s="9"/>
    </row>
    <row r="1137" s="2" customFormat="1" ht="30" customHeight="1" spans="1:6">
      <c r="A1137" s="9">
        <v>1134</v>
      </c>
      <c r="B1137" s="10" t="s">
        <v>666</v>
      </c>
      <c r="C1137" s="10" t="s">
        <v>667</v>
      </c>
      <c r="D1137" s="10" t="s">
        <v>1143</v>
      </c>
      <c r="E1137" s="10" t="str">
        <f>"644020240514140509179084"</f>
        <v>644020240514140509179084</v>
      </c>
      <c r="F1137" s="9"/>
    </row>
    <row r="1138" s="2" customFormat="1" ht="30" customHeight="1" spans="1:6">
      <c r="A1138" s="9">
        <v>1135</v>
      </c>
      <c r="B1138" s="10" t="s">
        <v>666</v>
      </c>
      <c r="C1138" s="10" t="s">
        <v>667</v>
      </c>
      <c r="D1138" s="10" t="s">
        <v>777</v>
      </c>
      <c r="E1138" s="10" t="str">
        <f>"644020240517145400185411"</f>
        <v>644020240517145400185411</v>
      </c>
      <c r="F1138" s="9"/>
    </row>
    <row r="1139" s="2" customFormat="1" ht="30" customHeight="1" spans="1:6">
      <c r="A1139" s="9">
        <v>1136</v>
      </c>
      <c r="B1139" s="10" t="s">
        <v>666</v>
      </c>
      <c r="C1139" s="10" t="s">
        <v>667</v>
      </c>
      <c r="D1139" s="10" t="s">
        <v>1144</v>
      </c>
      <c r="E1139" s="10" t="str">
        <f>"644020240516095742182947"</f>
        <v>644020240516095742182947</v>
      </c>
      <c r="F1139" s="9"/>
    </row>
    <row r="1140" s="2" customFormat="1" ht="30" customHeight="1" spans="1:6">
      <c r="A1140" s="9">
        <v>1137</v>
      </c>
      <c r="B1140" s="10" t="s">
        <v>666</v>
      </c>
      <c r="C1140" s="10" t="s">
        <v>667</v>
      </c>
      <c r="D1140" s="10" t="s">
        <v>1145</v>
      </c>
      <c r="E1140" s="10" t="str">
        <f>"644020240515190422182138"</f>
        <v>644020240515190422182138</v>
      </c>
      <c r="F1140" s="9"/>
    </row>
    <row r="1141" s="2" customFormat="1" ht="30" customHeight="1" spans="1:6">
      <c r="A1141" s="9">
        <v>1138</v>
      </c>
      <c r="B1141" s="10" t="s">
        <v>666</v>
      </c>
      <c r="C1141" s="10" t="s">
        <v>667</v>
      </c>
      <c r="D1141" s="10" t="s">
        <v>1146</v>
      </c>
      <c r="E1141" s="10" t="str">
        <f>"644020240517123201185135"</f>
        <v>644020240517123201185135</v>
      </c>
      <c r="F1141" s="9"/>
    </row>
    <row r="1142" s="2" customFormat="1" ht="30" customHeight="1" spans="1:6">
      <c r="A1142" s="9">
        <v>1139</v>
      </c>
      <c r="B1142" s="10" t="s">
        <v>666</v>
      </c>
      <c r="C1142" s="10" t="s">
        <v>667</v>
      </c>
      <c r="D1142" s="10" t="s">
        <v>1147</v>
      </c>
      <c r="E1142" s="10" t="str">
        <f>"644020240517152147185487"</f>
        <v>644020240517152147185487</v>
      </c>
      <c r="F1142" s="9"/>
    </row>
    <row r="1143" s="2" customFormat="1" ht="30" customHeight="1" spans="1:6">
      <c r="A1143" s="9">
        <v>1140</v>
      </c>
      <c r="B1143" s="10" t="s">
        <v>666</v>
      </c>
      <c r="C1143" s="10" t="s">
        <v>667</v>
      </c>
      <c r="D1143" s="10" t="s">
        <v>1148</v>
      </c>
      <c r="E1143" s="10" t="str">
        <f>"644020240517160907185607"</f>
        <v>644020240517160907185607</v>
      </c>
      <c r="F1143" s="9"/>
    </row>
    <row r="1144" s="2" customFormat="1" ht="30" customHeight="1" spans="1:6">
      <c r="A1144" s="9">
        <v>1141</v>
      </c>
      <c r="B1144" s="10" t="s">
        <v>666</v>
      </c>
      <c r="C1144" s="10" t="s">
        <v>667</v>
      </c>
      <c r="D1144" s="10" t="s">
        <v>1149</v>
      </c>
      <c r="E1144" s="10" t="str">
        <f>"644020240517123402185140"</f>
        <v>644020240517123402185140</v>
      </c>
      <c r="F1144" s="9"/>
    </row>
    <row r="1145" s="2" customFormat="1" ht="30" customHeight="1" spans="1:6">
      <c r="A1145" s="9">
        <v>1142</v>
      </c>
      <c r="B1145" s="10" t="s">
        <v>666</v>
      </c>
      <c r="C1145" s="10" t="s">
        <v>667</v>
      </c>
      <c r="D1145" s="10" t="s">
        <v>1150</v>
      </c>
      <c r="E1145" s="10" t="str">
        <f>"644020240517141731185343"</f>
        <v>644020240517141731185343</v>
      </c>
      <c r="F1145" s="9"/>
    </row>
    <row r="1146" s="2" customFormat="1" ht="30" customHeight="1" spans="1:6">
      <c r="A1146" s="9">
        <v>1143</v>
      </c>
      <c r="B1146" s="10" t="s">
        <v>666</v>
      </c>
      <c r="C1146" s="10" t="s">
        <v>667</v>
      </c>
      <c r="D1146" s="10" t="s">
        <v>1151</v>
      </c>
      <c r="E1146" s="10" t="str">
        <f>"644020240517140521185314"</f>
        <v>644020240517140521185314</v>
      </c>
      <c r="F1146" s="9"/>
    </row>
    <row r="1147" s="2" customFormat="1" ht="30" customHeight="1" spans="1:6">
      <c r="A1147" s="9">
        <v>1144</v>
      </c>
      <c r="B1147" s="10" t="s">
        <v>666</v>
      </c>
      <c r="C1147" s="10" t="s">
        <v>667</v>
      </c>
      <c r="D1147" s="10" t="s">
        <v>1152</v>
      </c>
      <c r="E1147" s="10" t="str">
        <f>"644020240515232949182572"</f>
        <v>644020240515232949182572</v>
      </c>
      <c r="F1147" s="9"/>
    </row>
    <row r="1148" s="2" customFormat="1" ht="30" customHeight="1" spans="1:6">
      <c r="A1148" s="9">
        <v>1145</v>
      </c>
      <c r="B1148" s="10" t="s">
        <v>666</v>
      </c>
      <c r="C1148" s="10" t="s">
        <v>667</v>
      </c>
      <c r="D1148" s="10" t="s">
        <v>1153</v>
      </c>
      <c r="E1148" s="10" t="str">
        <f>"644020240517161536185624"</f>
        <v>644020240517161536185624</v>
      </c>
      <c r="F1148" s="9"/>
    </row>
    <row r="1149" s="2" customFormat="1" ht="30" customHeight="1" spans="1:6">
      <c r="A1149" s="9">
        <v>1146</v>
      </c>
      <c r="B1149" s="10" t="s">
        <v>666</v>
      </c>
      <c r="C1149" s="10" t="s">
        <v>667</v>
      </c>
      <c r="D1149" s="10" t="s">
        <v>1154</v>
      </c>
      <c r="E1149" s="10" t="str">
        <f>"644020240517164221185675"</f>
        <v>644020240517164221185675</v>
      </c>
      <c r="F1149" s="9"/>
    </row>
    <row r="1150" s="2" customFormat="1" ht="30" customHeight="1" spans="1:6">
      <c r="A1150" s="9">
        <v>1147</v>
      </c>
      <c r="B1150" s="10" t="s">
        <v>666</v>
      </c>
      <c r="C1150" s="10" t="s">
        <v>667</v>
      </c>
      <c r="D1150" s="10" t="s">
        <v>1155</v>
      </c>
      <c r="E1150" s="10" t="str">
        <f>"644020240514150953179236"</f>
        <v>644020240514150953179236</v>
      </c>
      <c r="F1150" s="9"/>
    </row>
    <row r="1151" s="2" customFormat="1" ht="30" customHeight="1" spans="1:6">
      <c r="A1151" s="9">
        <v>1148</v>
      </c>
      <c r="B1151" s="10" t="s">
        <v>666</v>
      </c>
      <c r="C1151" s="10" t="s">
        <v>667</v>
      </c>
      <c r="D1151" s="10" t="s">
        <v>1156</v>
      </c>
      <c r="E1151" s="10" t="str">
        <f>"644020240516095606182939"</f>
        <v>644020240516095606182939</v>
      </c>
      <c r="F1151" s="9"/>
    </row>
    <row r="1152" s="2" customFormat="1" ht="30" customHeight="1" spans="1:6">
      <c r="A1152" s="9">
        <v>1149</v>
      </c>
      <c r="B1152" s="10" t="s">
        <v>666</v>
      </c>
      <c r="C1152" s="10" t="s">
        <v>667</v>
      </c>
      <c r="D1152" s="10" t="s">
        <v>1157</v>
      </c>
      <c r="E1152" s="10" t="str">
        <f>"644020240517164122185672"</f>
        <v>644020240517164122185672</v>
      </c>
      <c r="F1152" s="9"/>
    </row>
    <row r="1153" s="2" customFormat="1" ht="30" customHeight="1" spans="1:6">
      <c r="A1153" s="9">
        <v>1150</v>
      </c>
      <c r="B1153" s="10" t="s">
        <v>666</v>
      </c>
      <c r="C1153" s="10" t="s">
        <v>667</v>
      </c>
      <c r="D1153" s="10" t="s">
        <v>1158</v>
      </c>
      <c r="E1153" s="10" t="str">
        <f>"644020240516152348183538"</f>
        <v>644020240516152348183538</v>
      </c>
      <c r="F1153" s="9"/>
    </row>
    <row r="1154" s="2" customFormat="1" ht="30" customHeight="1" spans="1:6">
      <c r="A1154" s="9">
        <v>1151</v>
      </c>
      <c r="B1154" s="10" t="s">
        <v>666</v>
      </c>
      <c r="C1154" s="10" t="s">
        <v>667</v>
      </c>
      <c r="D1154" s="10" t="s">
        <v>1159</v>
      </c>
      <c r="E1154" s="10" t="str">
        <f>"644020240517163607185661"</f>
        <v>644020240517163607185661</v>
      </c>
      <c r="F1154" s="9"/>
    </row>
    <row r="1155" s="2" customFormat="1" ht="30" customHeight="1" spans="1:6">
      <c r="A1155" s="9">
        <v>1152</v>
      </c>
      <c r="B1155" s="10" t="s">
        <v>666</v>
      </c>
      <c r="C1155" s="10" t="s">
        <v>667</v>
      </c>
      <c r="D1155" s="10" t="s">
        <v>1160</v>
      </c>
      <c r="E1155" s="10" t="str">
        <f>"644020240517140902185326"</f>
        <v>644020240517140902185326</v>
      </c>
      <c r="F1155" s="9"/>
    </row>
    <row r="1156" s="2" customFormat="1" ht="30" customHeight="1" spans="1:6">
      <c r="A1156" s="9">
        <v>1153</v>
      </c>
      <c r="B1156" s="10" t="s">
        <v>666</v>
      </c>
      <c r="C1156" s="10" t="s">
        <v>667</v>
      </c>
      <c r="D1156" s="10" t="s">
        <v>1161</v>
      </c>
      <c r="E1156" s="10" t="str">
        <f>"644020240517165300185691"</f>
        <v>644020240517165300185691</v>
      </c>
      <c r="F1156" s="9"/>
    </row>
    <row r="1157" s="2" customFormat="1" ht="30" customHeight="1" spans="1:6">
      <c r="A1157" s="9">
        <v>1154</v>
      </c>
      <c r="B1157" s="10" t="s">
        <v>666</v>
      </c>
      <c r="C1157" s="10" t="s">
        <v>667</v>
      </c>
      <c r="D1157" s="10" t="s">
        <v>1162</v>
      </c>
      <c r="E1157" s="10" t="str">
        <f>"644020240516152335183537"</f>
        <v>644020240516152335183537</v>
      </c>
      <c r="F1157" s="9"/>
    </row>
    <row r="1158" s="2" customFormat="1" ht="30" customHeight="1" spans="1:6">
      <c r="A1158" s="9">
        <v>1155</v>
      </c>
      <c r="B1158" s="10" t="s">
        <v>666</v>
      </c>
      <c r="C1158" s="10" t="s">
        <v>667</v>
      </c>
      <c r="D1158" s="10" t="s">
        <v>1163</v>
      </c>
      <c r="E1158" s="10" t="str">
        <f>"644020240513124830174432"</f>
        <v>644020240513124830174432</v>
      </c>
      <c r="F1158" s="9"/>
    </row>
    <row r="1159" s="2" customFormat="1" ht="30" customHeight="1" spans="1:6">
      <c r="A1159" s="9">
        <v>1156</v>
      </c>
      <c r="B1159" s="10" t="s">
        <v>666</v>
      </c>
      <c r="C1159" s="10" t="s">
        <v>667</v>
      </c>
      <c r="D1159" s="10" t="s">
        <v>1164</v>
      </c>
      <c r="E1159" s="10" t="str">
        <f>"644020240517165652185696"</f>
        <v>644020240517165652185696</v>
      </c>
      <c r="F1159" s="9"/>
    </row>
    <row r="1160" s="2" customFormat="1" ht="30" customHeight="1" spans="1:6">
      <c r="A1160" s="9">
        <v>1157</v>
      </c>
      <c r="B1160" s="10" t="s">
        <v>666</v>
      </c>
      <c r="C1160" s="10" t="s">
        <v>667</v>
      </c>
      <c r="D1160" s="10" t="s">
        <v>1165</v>
      </c>
      <c r="E1160" s="10" t="str">
        <f>"644020240516231142184378"</f>
        <v>644020240516231142184378</v>
      </c>
      <c r="F1160" s="9"/>
    </row>
    <row r="1161" s="2" customFormat="1" ht="30" customHeight="1" spans="1:6">
      <c r="A1161" s="9">
        <v>1158</v>
      </c>
      <c r="B1161" s="10" t="s">
        <v>666</v>
      </c>
      <c r="C1161" s="10" t="s">
        <v>667</v>
      </c>
      <c r="D1161" s="10" t="s">
        <v>1166</v>
      </c>
      <c r="E1161" s="10" t="str">
        <f>"644020240516193944184028"</f>
        <v>644020240516193944184028</v>
      </c>
      <c r="F1161" s="9"/>
    </row>
    <row r="1162" s="2" customFormat="1" ht="30" customHeight="1" spans="1:6">
      <c r="A1162" s="9">
        <v>1159</v>
      </c>
      <c r="B1162" s="10" t="s">
        <v>666</v>
      </c>
      <c r="C1162" s="10" t="s">
        <v>667</v>
      </c>
      <c r="D1162" s="10" t="s">
        <v>1167</v>
      </c>
      <c r="E1162" s="10" t="str">
        <f>"644020240517162429185641"</f>
        <v>644020240517162429185641</v>
      </c>
      <c r="F1162" s="9"/>
    </row>
    <row r="1163" s="2" customFormat="1" ht="30" customHeight="1" spans="1:6">
      <c r="A1163" s="9">
        <v>1160</v>
      </c>
      <c r="B1163" s="10" t="s">
        <v>666</v>
      </c>
      <c r="C1163" s="10" t="s">
        <v>667</v>
      </c>
      <c r="D1163" s="10" t="s">
        <v>1168</v>
      </c>
      <c r="E1163" s="10" t="str">
        <f>"644020240516181144183897"</f>
        <v>644020240516181144183897</v>
      </c>
      <c r="F1163" s="9"/>
    </row>
    <row r="1164" s="2" customFormat="1" ht="30" customHeight="1" spans="1:6">
      <c r="A1164" s="9">
        <v>1161</v>
      </c>
      <c r="B1164" s="10" t="s">
        <v>666</v>
      </c>
      <c r="C1164" s="10" t="s">
        <v>667</v>
      </c>
      <c r="D1164" s="10" t="s">
        <v>1169</v>
      </c>
      <c r="E1164" s="10" t="str">
        <f>"644020240516223825184311"</f>
        <v>644020240516223825184311</v>
      </c>
      <c r="F1164" s="9"/>
    </row>
    <row r="1165" s="2" customFormat="1" ht="30" customHeight="1" spans="1:6">
      <c r="A1165" s="9">
        <v>1162</v>
      </c>
      <c r="B1165" s="10" t="s">
        <v>666</v>
      </c>
      <c r="C1165" s="10" t="s">
        <v>667</v>
      </c>
      <c r="D1165" s="10" t="s">
        <v>1170</v>
      </c>
      <c r="E1165" s="10" t="str">
        <f>"644020240517120658185091"</f>
        <v>644020240517120658185091</v>
      </c>
      <c r="F1165" s="9"/>
    </row>
    <row r="1166" s="2" customFormat="1" ht="30" customHeight="1" spans="1:6">
      <c r="A1166" s="9">
        <v>1163</v>
      </c>
      <c r="B1166" s="10" t="s">
        <v>666</v>
      </c>
      <c r="C1166" s="10" t="s">
        <v>667</v>
      </c>
      <c r="D1166" s="10" t="s">
        <v>1171</v>
      </c>
      <c r="E1166" s="10" t="str">
        <f>"644020240514205939180109"</f>
        <v>644020240514205939180109</v>
      </c>
      <c r="F1166" s="9"/>
    </row>
    <row r="1167" s="2" customFormat="1" ht="30" customHeight="1" spans="1:6">
      <c r="A1167" s="9">
        <v>1164</v>
      </c>
      <c r="B1167" s="10" t="s">
        <v>666</v>
      </c>
      <c r="C1167" s="10" t="s">
        <v>667</v>
      </c>
      <c r="D1167" s="10" t="s">
        <v>1172</v>
      </c>
      <c r="E1167" s="10" t="str">
        <f>"644020240517111623184986"</f>
        <v>644020240517111623184986</v>
      </c>
      <c r="F1167" s="9"/>
    </row>
    <row r="1168" s="2" customFormat="1" ht="30" customHeight="1" spans="1:6">
      <c r="A1168" s="9">
        <v>1165</v>
      </c>
      <c r="B1168" s="10" t="s">
        <v>666</v>
      </c>
      <c r="C1168" s="10" t="s">
        <v>667</v>
      </c>
      <c r="D1168" s="10" t="s">
        <v>1173</v>
      </c>
      <c r="E1168" s="10" t="str">
        <f>"644020240517194617185911"</f>
        <v>644020240517194617185911</v>
      </c>
      <c r="F1168" s="9"/>
    </row>
    <row r="1169" s="2" customFormat="1" ht="30" customHeight="1" spans="1:6">
      <c r="A1169" s="9">
        <v>1166</v>
      </c>
      <c r="B1169" s="10" t="s">
        <v>666</v>
      </c>
      <c r="C1169" s="10" t="s">
        <v>667</v>
      </c>
      <c r="D1169" s="10" t="s">
        <v>1174</v>
      </c>
      <c r="E1169" s="10" t="str">
        <f>"644020240515195107182201"</f>
        <v>644020240515195107182201</v>
      </c>
      <c r="F1169" s="9"/>
    </row>
    <row r="1170" s="2" customFormat="1" ht="30" customHeight="1" spans="1:6">
      <c r="A1170" s="9">
        <v>1167</v>
      </c>
      <c r="B1170" s="10" t="s">
        <v>666</v>
      </c>
      <c r="C1170" s="10" t="s">
        <v>667</v>
      </c>
      <c r="D1170" s="10" t="s">
        <v>1175</v>
      </c>
      <c r="E1170" s="10" t="str">
        <f>"644020240517124204185158"</f>
        <v>644020240517124204185158</v>
      </c>
      <c r="F1170" s="9"/>
    </row>
    <row r="1171" s="2" customFormat="1" ht="30" customHeight="1" spans="1:6">
      <c r="A1171" s="9">
        <v>1168</v>
      </c>
      <c r="B1171" s="10" t="s">
        <v>666</v>
      </c>
      <c r="C1171" s="10" t="s">
        <v>667</v>
      </c>
      <c r="D1171" s="10" t="s">
        <v>1176</v>
      </c>
      <c r="E1171" s="10" t="str">
        <f>"644020240517202144185941"</f>
        <v>644020240517202144185941</v>
      </c>
      <c r="F1171" s="9"/>
    </row>
    <row r="1172" s="2" customFormat="1" ht="30" customHeight="1" spans="1:6">
      <c r="A1172" s="9">
        <v>1169</v>
      </c>
      <c r="B1172" s="10" t="s">
        <v>666</v>
      </c>
      <c r="C1172" s="10" t="s">
        <v>667</v>
      </c>
      <c r="D1172" s="10" t="s">
        <v>1177</v>
      </c>
      <c r="E1172" s="10" t="str">
        <f>"644020240512151233169693"</f>
        <v>644020240512151233169693</v>
      </c>
      <c r="F1172" s="9"/>
    </row>
    <row r="1173" s="2" customFormat="1" ht="30" customHeight="1" spans="1:6">
      <c r="A1173" s="9">
        <v>1170</v>
      </c>
      <c r="B1173" s="10" t="s">
        <v>666</v>
      </c>
      <c r="C1173" s="10" t="s">
        <v>667</v>
      </c>
      <c r="D1173" s="10" t="s">
        <v>1178</v>
      </c>
      <c r="E1173" s="10" t="str">
        <f>"644020240517194545185910"</f>
        <v>644020240517194545185910</v>
      </c>
      <c r="F1173" s="9"/>
    </row>
    <row r="1174" s="2" customFormat="1" ht="30" customHeight="1" spans="1:6">
      <c r="A1174" s="9">
        <v>1171</v>
      </c>
      <c r="B1174" s="10" t="s">
        <v>666</v>
      </c>
      <c r="C1174" s="10" t="s">
        <v>667</v>
      </c>
      <c r="D1174" s="10" t="s">
        <v>1179</v>
      </c>
      <c r="E1174" s="10" t="str">
        <f>"644020240512095114168325"</f>
        <v>644020240512095114168325</v>
      </c>
      <c r="F1174" s="9"/>
    </row>
    <row r="1175" s="2" customFormat="1" ht="30" customHeight="1" spans="1:6">
      <c r="A1175" s="9">
        <v>1172</v>
      </c>
      <c r="B1175" s="10" t="s">
        <v>666</v>
      </c>
      <c r="C1175" s="10" t="s">
        <v>667</v>
      </c>
      <c r="D1175" s="10" t="s">
        <v>1180</v>
      </c>
      <c r="E1175" s="10" t="str">
        <f>"644020240517143933185378"</f>
        <v>644020240517143933185378</v>
      </c>
      <c r="F1175" s="9"/>
    </row>
    <row r="1176" s="2" customFormat="1" ht="30" customHeight="1" spans="1:6">
      <c r="A1176" s="9">
        <v>1173</v>
      </c>
      <c r="B1176" s="10" t="s">
        <v>666</v>
      </c>
      <c r="C1176" s="10" t="s">
        <v>667</v>
      </c>
      <c r="D1176" s="10" t="s">
        <v>1181</v>
      </c>
      <c r="E1176" s="10" t="str">
        <f>"644020240516220159184230"</f>
        <v>644020240516220159184230</v>
      </c>
      <c r="F1176" s="9"/>
    </row>
    <row r="1177" s="2" customFormat="1" ht="30" customHeight="1" spans="1:6">
      <c r="A1177" s="9">
        <v>1174</v>
      </c>
      <c r="B1177" s="10" t="s">
        <v>666</v>
      </c>
      <c r="C1177" s="10" t="s">
        <v>667</v>
      </c>
      <c r="D1177" s="10" t="s">
        <v>1182</v>
      </c>
      <c r="E1177" s="10" t="str">
        <f>"644020240517213601186016"</f>
        <v>644020240517213601186016</v>
      </c>
      <c r="F1177" s="9"/>
    </row>
    <row r="1178" s="2" customFormat="1" ht="30" customHeight="1" spans="1:6">
      <c r="A1178" s="9">
        <v>1175</v>
      </c>
      <c r="B1178" s="10" t="s">
        <v>666</v>
      </c>
      <c r="C1178" s="10" t="s">
        <v>667</v>
      </c>
      <c r="D1178" s="10" t="s">
        <v>1183</v>
      </c>
      <c r="E1178" s="10" t="str">
        <f>"644020240517212803185993"</f>
        <v>644020240517212803185993</v>
      </c>
      <c r="F1178" s="9"/>
    </row>
    <row r="1179" s="2" customFormat="1" ht="30" customHeight="1" spans="1:6">
      <c r="A1179" s="9">
        <v>1176</v>
      </c>
      <c r="B1179" s="10" t="s">
        <v>666</v>
      </c>
      <c r="C1179" s="10" t="s">
        <v>667</v>
      </c>
      <c r="D1179" s="10" t="s">
        <v>1184</v>
      </c>
      <c r="E1179" s="10" t="str">
        <f>"644020240517213114186007"</f>
        <v>644020240517213114186007</v>
      </c>
      <c r="F1179" s="9"/>
    </row>
    <row r="1180" s="2" customFormat="1" ht="30" customHeight="1" spans="1:6">
      <c r="A1180" s="9">
        <v>1177</v>
      </c>
      <c r="B1180" s="10" t="s">
        <v>666</v>
      </c>
      <c r="C1180" s="10" t="s">
        <v>667</v>
      </c>
      <c r="D1180" s="10" t="s">
        <v>1185</v>
      </c>
      <c r="E1180" s="10" t="str">
        <f>"644020240517212121185975"</f>
        <v>644020240517212121185975</v>
      </c>
      <c r="F1180" s="9"/>
    </row>
    <row r="1181" s="2" customFormat="1" ht="30" customHeight="1" spans="1:6">
      <c r="A1181" s="9">
        <v>1178</v>
      </c>
      <c r="B1181" s="10" t="s">
        <v>666</v>
      </c>
      <c r="C1181" s="10" t="s">
        <v>667</v>
      </c>
      <c r="D1181" s="10" t="s">
        <v>1186</v>
      </c>
      <c r="E1181" s="10" t="str">
        <f>"644020240514105450178575"</f>
        <v>644020240514105450178575</v>
      </c>
      <c r="F1181" s="9"/>
    </row>
    <row r="1182" s="2" customFormat="1" ht="30" customHeight="1" spans="1:6">
      <c r="A1182" s="9">
        <v>1179</v>
      </c>
      <c r="B1182" s="10" t="s">
        <v>666</v>
      </c>
      <c r="C1182" s="10" t="s">
        <v>667</v>
      </c>
      <c r="D1182" s="10" t="s">
        <v>1187</v>
      </c>
      <c r="E1182" s="10" t="str">
        <f>"644020240517195101185916"</f>
        <v>644020240517195101185916</v>
      </c>
      <c r="F1182" s="9"/>
    </row>
    <row r="1183" s="2" customFormat="1" ht="30" customHeight="1" spans="1:6">
      <c r="A1183" s="9">
        <v>1180</v>
      </c>
      <c r="B1183" s="10" t="s">
        <v>666</v>
      </c>
      <c r="C1183" s="10" t="s">
        <v>667</v>
      </c>
      <c r="D1183" s="10" t="s">
        <v>1188</v>
      </c>
      <c r="E1183" s="10" t="str">
        <f>"644020240517181340185817"</f>
        <v>644020240517181340185817</v>
      </c>
      <c r="F1183" s="9"/>
    </row>
    <row r="1184" s="2" customFormat="1" ht="30" customHeight="1" spans="1:6">
      <c r="A1184" s="9">
        <v>1181</v>
      </c>
      <c r="B1184" s="10" t="s">
        <v>666</v>
      </c>
      <c r="C1184" s="10" t="s">
        <v>667</v>
      </c>
      <c r="D1184" s="10" t="s">
        <v>1189</v>
      </c>
      <c r="E1184" s="10" t="str">
        <f>"644020240517030815184557"</f>
        <v>644020240517030815184557</v>
      </c>
      <c r="F1184" s="9"/>
    </row>
    <row r="1185" s="2" customFormat="1" ht="30" customHeight="1" spans="1:6">
      <c r="A1185" s="9">
        <v>1182</v>
      </c>
      <c r="B1185" s="10" t="s">
        <v>666</v>
      </c>
      <c r="C1185" s="10" t="s">
        <v>667</v>
      </c>
      <c r="D1185" s="10" t="s">
        <v>1190</v>
      </c>
      <c r="E1185" s="10" t="str">
        <f>"644020240517125215185180"</f>
        <v>644020240517125215185180</v>
      </c>
      <c r="F1185" s="9"/>
    </row>
    <row r="1186" s="2" customFormat="1" ht="30" customHeight="1" spans="1:6">
      <c r="A1186" s="9">
        <v>1183</v>
      </c>
      <c r="B1186" s="10" t="s">
        <v>666</v>
      </c>
      <c r="C1186" s="10" t="s">
        <v>667</v>
      </c>
      <c r="D1186" s="10" t="s">
        <v>1191</v>
      </c>
      <c r="E1186" s="10" t="str">
        <f>"644020240512224041171555"</f>
        <v>644020240512224041171555</v>
      </c>
      <c r="F1186" s="9"/>
    </row>
    <row r="1187" s="2" customFormat="1" ht="30" customHeight="1" spans="1:6">
      <c r="A1187" s="9">
        <v>1184</v>
      </c>
      <c r="B1187" s="10" t="s">
        <v>666</v>
      </c>
      <c r="C1187" s="10" t="s">
        <v>667</v>
      </c>
      <c r="D1187" s="10" t="s">
        <v>1192</v>
      </c>
      <c r="E1187" s="10" t="str">
        <f>"644020240514103724178475"</f>
        <v>644020240514103724178475</v>
      </c>
      <c r="F1187" s="9"/>
    </row>
    <row r="1188" s="2" customFormat="1" ht="30" customHeight="1" spans="1:6">
      <c r="A1188" s="9">
        <v>1185</v>
      </c>
      <c r="B1188" s="10" t="s">
        <v>666</v>
      </c>
      <c r="C1188" s="10" t="s">
        <v>667</v>
      </c>
      <c r="D1188" s="10" t="s">
        <v>1193</v>
      </c>
      <c r="E1188" s="10" t="str">
        <f>"644020240518000501186159"</f>
        <v>644020240518000501186159</v>
      </c>
      <c r="F1188" s="9"/>
    </row>
    <row r="1189" s="2" customFormat="1" ht="30" customHeight="1" spans="1:6">
      <c r="A1189" s="9">
        <v>1186</v>
      </c>
      <c r="B1189" s="10" t="s">
        <v>666</v>
      </c>
      <c r="C1189" s="10" t="s">
        <v>667</v>
      </c>
      <c r="D1189" s="10" t="s">
        <v>1194</v>
      </c>
      <c r="E1189" s="10" t="str">
        <f>"644020240517210749185962"</f>
        <v>644020240517210749185962</v>
      </c>
      <c r="F1189" s="9"/>
    </row>
    <row r="1190" s="2" customFormat="1" ht="30" customHeight="1" spans="1:6">
      <c r="A1190" s="9">
        <v>1187</v>
      </c>
      <c r="B1190" s="10" t="s">
        <v>666</v>
      </c>
      <c r="C1190" s="10" t="s">
        <v>667</v>
      </c>
      <c r="D1190" s="10" t="s">
        <v>298</v>
      </c>
      <c r="E1190" s="10" t="str">
        <f>"644020240518010038186229"</f>
        <v>644020240518010038186229</v>
      </c>
      <c r="F1190" s="9"/>
    </row>
    <row r="1191" s="2" customFormat="1" ht="30" customHeight="1" spans="1:6">
      <c r="A1191" s="9">
        <v>1188</v>
      </c>
      <c r="B1191" s="10" t="s">
        <v>666</v>
      </c>
      <c r="C1191" s="10" t="s">
        <v>667</v>
      </c>
      <c r="D1191" s="10" t="s">
        <v>1195</v>
      </c>
      <c r="E1191" s="10" t="str">
        <f>"644020240518002404186187"</f>
        <v>644020240518002404186187</v>
      </c>
      <c r="F1191" s="9"/>
    </row>
    <row r="1192" s="2" customFormat="1" ht="30" customHeight="1" spans="1:6">
      <c r="A1192" s="9">
        <v>1189</v>
      </c>
      <c r="B1192" s="10" t="s">
        <v>666</v>
      </c>
      <c r="C1192" s="10" t="s">
        <v>667</v>
      </c>
      <c r="D1192" s="10" t="s">
        <v>1196</v>
      </c>
      <c r="E1192" s="10" t="str">
        <f>"644020240517233619186114"</f>
        <v>644020240517233619186114</v>
      </c>
      <c r="F1192" s="9"/>
    </row>
    <row r="1193" s="2" customFormat="1" ht="30" customHeight="1" spans="1:6">
      <c r="A1193" s="9">
        <v>1190</v>
      </c>
      <c r="B1193" s="10" t="s">
        <v>666</v>
      </c>
      <c r="C1193" s="10" t="s">
        <v>667</v>
      </c>
      <c r="D1193" s="10" t="s">
        <v>1197</v>
      </c>
      <c r="E1193" s="10" t="str">
        <f>"644020240518022434186277"</f>
        <v>644020240518022434186277</v>
      </c>
      <c r="F1193" s="9"/>
    </row>
    <row r="1194" s="2" customFormat="1" ht="30" customHeight="1" spans="1:6">
      <c r="A1194" s="9">
        <v>1191</v>
      </c>
      <c r="B1194" s="10" t="s">
        <v>666</v>
      </c>
      <c r="C1194" s="10" t="s">
        <v>667</v>
      </c>
      <c r="D1194" s="10" t="s">
        <v>1198</v>
      </c>
      <c r="E1194" s="10" t="str">
        <f>"644020240518033408186295"</f>
        <v>644020240518033408186295</v>
      </c>
      <c r="F1194" s="9"/>
    </row>
    <row r="1195" s="2" customFormat="1" ht="30" customHeight="1" spans="1:6">
      <c r="A1195" s="9">
        <v>1192</v>
      </c>
      <c r="B1195" s="10" t="s">
        <v>666</v>
      </c>
      <c r="C1195" s="10" t="s">
        <v>667</v>
      </c>
      <c r="D1195" s="10" t="s">
        <v>1199</v>
      </c>
      <c r="E1195" s="10" t="str">
        <f>"644020240518062857186321"</f>
        <v>644020240518062857186321</v>
      </c>
      <c r="F1195" s="9"/>
    </row>
    <row r="1196" s="2" customFormat="1" ht="30" customHeight="1" spans="1:6">
      <c r="A1196" s="9">
        <v>1193</v>
      </c>
      <c r="B1196" s="10" t="s">
        <v>666</v>
      </c>
      <c r="C1196" s="10" t="s">
        <v>667</v>
      </c>
      <c r="D1196" s="10" t="s">
        <v>1200</v>
      </c>
      <c r="E1196" s="10" t="str">
        <f>"644020240517133755185279"</f>
        <v>644020240517133755185279</v>
      </c>
      <c r="F1196" s="9"/>
    </row>
    <row r="1197" s="2" customFormat="1" ht="30" customHeight="1" spans="1:6">
      <c r="A1197" s="9">
        <v>1194</v>
      </c>
      <c r="B1197" s="10" t="s">
        <v>666</v>
      </c>
      <c r="C1197" s="10" t="s">
        <v>667</v>
      </c>
      <c r="D1197" s="10" t="s">
        <v>1201</v>
      </c>
      <c r="E1197" s="10" t="str">
        <f>"644020240514233919180536"</f>
        <v>644020240514233919180536</v>
      </c>
      <c r="F1197" s="9"/>
    </row>
    <row r="1198" s="2" customFormat="1" ht="30" customHeight="1" spans="1:6">
      <c r="A1198" s="9">
        <v>1195</v>
      </c>
      <c r="B1198" s="10" t="s">
        <v>666</v>
      </c>
      <c r="C1198" s="10" t="s">
        <v>667</v>
      </c>
      <c r="D1198" s="10" t="s">
        <v>1202</v>
      </c>
      <c r="E1198" s="10" t="str">
        <f>"644020240518081657186384"</f>
        <v>644020240518081657186384</v>
      </c>
      <c r="F1198" s="9"/>
    </row>
    <row r="1199" s="2" customFormat="1" ht="30" customHeight="1" spans="1:6">
      <c r="A1199" s="9">
        <v>1196</v>
      </c>
      <c r="B1199" s="10" t="s">
        <v>666</v>
      </c>
      <c r="C1199" s="10" t="s">
        <v>667</v>
      </c>
      <c r="D1199" s="10" t="s">
        <v>1203</v>
      </c>
      <c r="E1199" s="10" t="str">
        <f>"644020240518083719186412"</f>
        <v>644020240518083719186412</v>
      </c>
      <c r="F1199" s="9"/>
    </row>
    <row r="1200" s="2" customFormat="1" ht="30" customHeight="1" spans="1:6">
      <c r="A1200" s="9">
        <v>1197</v>
      </c>
      <c r="B1200" s="10" t="s">
        <v>666</v>
      </c>
      <c r="C1200" s="10" t="s">
        <v>667</v>
      </c>
      <c r="D1200" s="10" t="s">
        <v>1204</v>
      </c>
      <c r="E1200" s="10" t="str">
        <f>"644020240517214428186024"</f>
        <v>644020240517214428186024</v>
      </c>
      <c r="F1200" s="9"/>
    </row>
    <row r="1201" s="2" customFormat="1" ht="30" customHeight="1" spans="1:6">
      <c r="A1201" s="9">
        <v>1198</v>
      </c>
      <c r="B1201" s="10" t="s">
        <v>666</v>
      </c>
      <c r="C1201" s="10" t="s">
        <v>667</v>
      </c>
      <c r="D1201" s="10" t="s">
        <v>1205</v>
      </c>
      <c r="E1201" s="10" t="str">
        <f>"644020240518082358186392"</f>
        <v>644020240518082358186392</v>
      </c>
      <c r="F1201" s="9"/>
    </row>
    <row r="1202" s="2" customFormat="1" ht="30" customHeight="1" spans="1:6">
      <c r="A1202" s="9">
        <v>1199</v>
      </c>
      <c r="B1202" s="10" t="s">
        <v>666</v>
      </c>
      <c r="C1202" s="10" t="s">
        <v>667</v>
      </c>
      <c r="D1202" s="10" t="s">
        <v>1206</v>
      </c>
      <c r="E1202" s="10" t="str">
        <f>"644020240517145828185419"</f>
        <v>644020240517145828185419</v>
      </c>
      <c r="F1202" s="9"/>
    </row>
    <row r="1203" s="2" customFormat="1" ht="30" customHeight="1" spans="1:6">
      <c r="A1203" s="9">
        <v>1200</v>
      </c>
      <c r="B1203" s="10" t="s">
        <v>666</v>
      </c>
      <c r="C1203" s="10" t="s">
        <v>667</v>
      </c>
      <c r="D1203" s="10" t="s">
        <v>1207</v>
      </c>
      <c r="E1203" s="10" t="str">
        <f>"644020240518084223186421"</f>
        <v>644020240518084223186421</v>
      </c>
      <c r="F1203" s="9"/>
    </row>
    <row r="1204" s="2" customFormat="1" ht="30" customHeight="1" spans="1:6">
      <c r="A1204" s="9">
        <v>1201</v>
      </c>
      <c r="B1204" s="10" t="s">
        <v>666</v>
      </c>
      <c r="C1204" s="10" t="s">
        <v>667</v>
      </c>
      <c r="D1204" s="10" t="s">
        <v>1208</v>
      </c>
      <c r="E1204" s="10" t="str">
        <f>"644020240516174225183856"</f>
        <v>644020240516174225183856</v>
      </c>
      <c r="F1204" s="9"/>
    </row>
    <row r="1205" s="2" customFormat="1" ht="30" customHeight="1" spans="1:6">
      <c r="A1205" s="9">
        <v>1202</v>
      </c>
      <c r="B1205" s="10" t="s">
        <v>666</v>
      </c>
      <c r="C1205" s="10" t="s">
        <v>667</v>
      </c>
      <c r="D1205" s="10" t="s">
        <v>1209</v>
      </c>
      <c r="E1205" s="10" t="str">
        <f>"644020240518030704186292"</f>
        <v>644020240518030704186292</v>
      </c>
      <c r="F1205" s="9"/>
    </row>
    <row r="1206" s="2" customFormat="1" ht="30" customHeight="1" spans="1:6">
      <c r="A1206" s="9">
        <v>1203</v>
      </c>
      <c r="B1206" s="10" t="s">
        <v>666</v>
      </c>
      <c r="C1206" s="10" t="s">
        <v>667</v>
      </c>
      <c r="D1206" s="10" t="s">
        <v>1210</v>
      </c>
      <c r="E1206" s="10" t="str">
        <f>"644020240517213031186002"</f>
        <v>644020240517213031186002</v>
      </c>
      <c r="F1206" s="9"/>
    </row>
    <row r="1207" s="2" customFormat="1" ht="30" customHeight="1" spans="1:6">
      <c r="A1207" s="9">
        <v>1204</v>
      </c>
      <c r="B1207" s="10" t="s">
        <v>666</v>
      </c>
      <c r="C1207" s="10" t="s">
        <v>667</v>
      </c>
      <c r="D1207" s="10" t="s">
        <v>1211</v>
      </c>
      <c r="E1207" s="10" t="str">
        <f>"644020240513151551175331"</f>
        <v>644020240513151551175331</v>
      </c>
      <c r="F1207" s="9"/>
    </row>
    <row r="1208" s="2" customFormat="1" ht="30" customHeight="1" spans="1:6">
      <c r="A1208" s="9">
        <v>1205</v>
      </c>
      <c r="B1208" s="10" t="s">
        <v>666</v>
      </c>
      <c r="C1208" s="10" t="s">
        <v>667</v>
      </c>
      <c r="D1208" s="10" t="s">
        <v>1212</v>
      </c>
      <c r="E1208" s="10" t="str">
        <f>"644020240518095215186557"</f>
        <v>644020240518095215186557</v>
      </c>
      <c r="F1208" s="9"/>
    </row>
    <row r="1209" s="2" customFormat="1" ht="30" customHeight="1" spans="1:6">
      <c r="A1209" s="9">
        <v>1206</v>
      </c>
      <c r="B1209" s="10" t="s">
        <v>666</v>
      </c>
      <c r="C1209" s="10" t="s">
        <v>667</v>
      </c>
      <c r="D1209" s="10" t="s">
        <v>1213</v>
      </c>
      <c r="E1209" s="10" t="str">
        <f>"644020240518093255186509"</f>
        <v>644020240518093255186509</v>
      </c>
      <c r="F1209" s="9"/>
    </row>
    <row r="1210" s="2" customFormat="1" ht="30" customHeight="1" spans="1:6">
      <c r="A1210" s="9">
        <v>1207</v>
      </c>
      <c r="B1210" s="10" t="s">
        <v>666</v>
      </c>
      <c r="C1210" s="10" t="s">
        <v>667</v>
      </c>
      <c r="D1210" s="10" t="s">
        <v>1214</v>
      </c>
      <c r="E1210" s="10" t="str">
        <f>"644020240516104538183059"</f>
        <v>644020240516104538183059</v>
      </c>
      <c r="F1210" s="9"/>
    </row>
    <row r="1211" s="2" customFormat="1" ht="30" customHeight="1" spans="1:6">
      <c r="A1211" s="9">
        <v>1208</v>
      </c>
      <c r="B1211" s="10" t="s">
        <v>666</v>
      </c>
      <c r="C1211" s="10" t="s">
        <v>667</v>
      </c>
      <c r="D1211" s="10" t="s">
        <v>1215</v>
      </c>
      <c r="E1211" s="10" t="str">
        <f>"644020240518100201186578"</f>
        <v>644020240518100201186578</v>
      </c>
      <c r="F1211" s="9"/>
    </row>
    <row r="1212" s="2" customFormat="1" ht="30" customHeight="1" spans="1:6">
      <c r="A1212" s="9">
        <v>1209</v>
      </c>
      <c r="B1212" s="10" t="s">
        <v>666</v>
      </c>
      <c r="C1212" s="10" t="s">
        <v>667</v>
      </c>
      <c r="D1212" s="10" t="s">
        <v>1216</v>
      </c>
      <c r="E1212" s="10" t="str">
        <f>"644020240516152402183539"</f>
        <v>644020240516152402183539</v>
      </c>
      <c r="F1212" s="9"/>
    </row>
    <row r="1213" s="2" customFormat="1" ht="30" customHeight="1" spans="1:6">
      <c r="A1213" s="9">
        <v>1210</v>
      </c>
      <c r="B1213" s="10" t="s">
        <v>666</v>
      </c>
      <c r="C1213" s="10" t="s">
        <v>667</v>
      </c>
      <c r="D1213" s="10" t="s">
        <v>1217</v>
      </c>
      <c r="E1213" s="10" t="str">
        <f>"644020240518103418186660"</f>
        <v>644020240518103418186660</v>
      </c>
      <c r="F1213" s="9"/>
    </row>
    <row r="1214" s="2" customFormat="1" ht="30" customHeight="1" spans="1:6">
      <c r="A1214" s="9">
        <v>1211</v>
      </c>
      <c r="B1214" s="10" t="s">
        <v>666</v>
      </c>
      <c r="C1214" s="10" t="s">
        <v>667</v>
      </c>
      <c r="D1214" s="10" t="s">
        <v>1218</v>
      </c>
      <c r="E1214" s="10" t="str">
        <f>"644020240518090546186457"</f>
        <v>644020240518090546186457</v>
      </c>
      <c r="F1214" s="9"/>
    </row>
    <row r="1215" s="2" customFormat="1" ht="30" customHeight="1" spans="1:6">
      <c r="A1215" s="9">
        <v>1212</v>
      </c>
      <c r="B1215" s="10" t="s">
        <v>666</v>
      </c>
      <c r="C1215" s="10" t="s">
        <v>667</v>
      </c>
      <c r="D1215" s="10" t="s">
        <v>1219</v>
      </c>
      <c r="E1215" s="10" t="str">
        <f>"644020240518002527186189"</f>
        <v>644020240518002527186189</v>
      </c>
      <c r="F1215" s="9"/>
    </row>
    <row r="1216" s="2" customFormat="1" ht="30" customHeight="1" spans="1:6">
      <c r="A1216" s="9">
        <v>1213</v>
      </c>
      <c r="B1216" s="10" t="s">
        <v>666</v>
      </c>
      <c r="C1216" s="10" t="s">
        <v>667</v>
      </c>
      <c r="D1216" s="10" t="s">
        <v>1220</v>
      </c>
      <c r="E1216" s="10" t="str">
        <f>"644020240518104309186684"</f>
        <v>644020240518104309186684</v>
      </c>
      <c r="F1216" s="9"/>
    </row>
    <row r="1217" s="2" customFormat="1" ht="30" customHeight="1" spans="1:6">
      <c r="A1217" s="9">
        <v>1214</v>
      </c>
      <c r="B1217" s="10" t="s">
        <v>666</v>
      </c>
      <c r="C1217" s="10" t="s">
        <v>667</v>
      </c>
      <c r="D1217" s="10" t="s">
        <v>1221</v>
      </c>
      <c r="E1217" s="10" t="str">
        <f>"644020240517114248185047"</f>
        <v>644020240517114248185047</v>
      </c>
      <c r="F1217" s="9"/>
    </row>
    <row r="1218" s="2" customFormat="1" ht="30" customHeight="1" spans="1:6">
      <c r="A1218" s="9">
        <v>1215</v>
      </c>
      <c r="B1218" s="10" t="s">
        <v>666</v>
      </c>
      <c r="C1218" s="10" t="s">
        <v>667</v>
      </c>
      <c r="D1218" s="10" t="s">
        <v>1222</v>
      </c>
      <c r="E1218" s="10" t="str">
        <f>"644020240518092820186499"</f>
        <v>644020240518092820186499</v>
      </c>
      <c r="F1218" s="9"/>
    </row>
    <row r="1219" s="2" customFormat="1" ht="30" customHeight="1" spans="1:6">
      <c r="A1219" s="9">
        <v>1216</v>
      </c>
      <c r="B1219" s="10" t="s">
        <v>666</v>
      </c>
      <c r="C1219" s="10" t="s">
        <v>667</v>
      </c>
      <c r="D1219" s="10" t="s">
        <v>1223</v>
      </c>
      <c r="E1219" s="10" t="str">
        <f>"644020240518112419186751"</f>
        <v>644020240518112419186751</v>
      </c>
      <c r="F1219" s="9"/>
    </row>
    <row r="1220" s="2" customFormat="1" ht="30" customHeight="1" spans="1:6">
      <c r="A1220" s="9">
        <v>1217</v>
      </c>
      <c r="B1220" s="10" t="s">
        <v>666</v>
      </c>
      <c r="C1220" s="10" t="s">
        <v>667</v>
      </c>
      <c r="D1220" s="10" t="s">
        <v>1224</v>
      </c>
      <c r="E1220" s="10" t="str">
        <f>"644020240518102801186641"</f>
        <v>644020240518102801186641</v>
      </c>
      <c r="F1220" s="9"/>
    </row>
    <row r="1221" s="2" customFormat="1" ht="30" customHeight="1" spans="1:6">
      <c r="A1221" s="9">
        <v>1218</v>
      </c>
      <c r="B1221" s="10" t="s">
        <v>666</v>
      </c>
      <c r="C1221" s="10" t="s">
        <v>667</v>
      </c>
      <c r="D1221" s="10" t="s">
        <v>1225</v>
      </c>
      <c r="E1221" s="10" t="str">
        <f>"644020240518004536186212"</f>
        <v>644020240518004536186212</v>
      </c>
      <c r="F1221" s="9"/>
    </row>
    <row r="1222" s="2" customFormat="1" ht="30" customHeight="1" spans="1:6">
      <c r="A1222" s="9">
        <v>1219</v>
      </c>
      <c r="B1222" s="10" t="s">
        <v>666</v>
      </c>
      <c r="C1222" s="10" t="s">
        <v>667</v>
      </c>
      <c r="D1222" s="10" t="s">
        <v>1226</v>
      </c>
      <c r="E1222" s="10" t="str">
        <f>"644020240518110716186719"</f>
        <v>644020240518110716186719</v>
      </c>
      <c r="F1222" s="9"/>
    </row>
    <row r="1223" s="2" customFormat="1" ht="30" customHeight="1" spans="1:6">
      <c r="A1223" s="9">
        <v>1220</v>
      </c>
      <c r="B1223" s="10" t="s">
        <v>666</v>
      </c>
      <c r="C1223" s="10" t="s">
        <v>667</v>
      </c>
      <c r="D1223" s="10" t="s">
        <v>1227</v>
      </c>
      <c r="E1223" s="10" t="str">
        <f>"644020240512232216171793"</f>
        <v>644020240512232216171793</v>
      </c>
      <c r="F1223" s="9"/>
    </row>
    <row r="1224" s="2" customFormat="1" ht="30" customHeight="1" spans="1:6">
      <c r="A1224" s="9">
        <v>1221</v>
      </c>
      <c r="B1224" s="10" t="s">
        <v>666</v>
      </c>
      <c r="C1224" s="10" t="s">
        <v>667</v>
      </c>
      <c r="D1224" s="10" t="s">
        <v>1228</v>
      </c>
      <c r="E1224" s="10" t="str">
        <f>"644020240518112507186756"</f>
        <v>644020240518112507186756</v>
      </c>
      <c r="F1224" s="9"/>
    </row>
    <row r="1225" s="2" customFormat="1" ht="30" customHeight="1" spans="1:6">
      <c r="A1225" s="9">
        <v>1222</v>
      </c>
      <c r="B1225" s="10" t="s">
        <v>666</v>
      </c>
      <c r="C1225" s="10" t="s">
        <v>667</v>
      </c>
      <c r="D1225" s="10" t="s">
        <v>1229</v>
      </c>
      <c r="E1225" s="10" t="str">
        <f>"644020240518110927186725"</f>
        <v>644020240518110927186725</v>
      </c>
      <c r="F1225" s="9"/>
    </row>
    <row r="1226" s="2" customFormat="1" ht="30" customHeight="1" spans="1:6">
      <c r="A1226" s="9">
        <v>1223</v>
      </c>
      <c r="B1226" s="10" t="s">
        <v>1230</v>
      </c>
      <c r="C1226" s="10" t="s">
        <v>1231</v>
      </c>
      <c r="D1226" s="10" t="s">
        <v>1232</v>
      </c>
      <c r="E1226" s="10" t="str">
        <f>"644020240512092731168228"</f>
        <v>644020240512092731168228</v>
      </c>
      <c r="F1226" s="9"/>
    </row>
    <row r="1227" s="2" customFormat="1" ht="30" customHeight="1" spans="1:6">
      <c r="A1227" s="9">
        <v>1224</v>
      </c>
      <c r="B1227" s="10" t="s">
        <v>1230</v>
      </c>
      <c r="C1227" s="10" t="s">
        <v>1231</v>
      </c>
      <c r="D1227" s="10" t="s">
        <v>1233</v>
      </c>
      <c r="E1227" s="10" t="str">
        <f>"644020240512092351168213"</f>
        <v>644020240512092351168213</v>
      </c>
      <c r="F1227" s="9"/>
    </row>
    <row r="1228" s="2" customFormat="1" ht="30" customHeight="1" spans="1:6">
      <c r="A1228" s="9">
        <v>1225</v>
      </c>
      <c r="B1228" s="10" t="s">
        <v>1230</v>
      </c>
      <c r="C1228" s="10" t="s">
        <v>1231</v>
      </c>
      <c r="D1228" s="10" t="s">
        <v>1234</v>
      </c>
      <c r="E1228" s="10" t="str">
        <f>"644020240512091913168195"</f>
        <v>644020240512091913168195</v>
      </c>
      <c r="F1228" s="9"/>
    </row>
    <row r="1229" s="2" customFormat="1" ht="30" customHeight="1" spans="1:6">
      <c r="A1229" s="9">
        <v>1226</v>
      </c>
      <c r="B1229" s="10" t="s">
        <v>1230</v>
      </c>
      <c r="C1229" s="10" t="s">
        <v>1231</v>
      </c>
      <c r="D1229" s="10" t="s">
        <v>1235</v>
      </c>
      <c r="E1229" s="10" t="str">
        <f>"644020240512091248168164"</f>
        <v>644020240512091248168164</v>
      </c>
      <c r="F1229" s="9"/>
    </row>
    <row r="1230" s="2" customFormat="1" ht="30" customHeight="1" spans="1:6">
      <c r="A1230" s="9">
        <v>1227</v>
      </c>
      <c r="B1230" s="10" t="s">
        <v>1230</v>
      </c>
      <c r="C1230" s="10" t="s">
        <v>1231</v>
      </c>
      <c r="D1230" s="10" t="s">
        <v>1236</v>
      </c>
      <c r="E1230" s="10" t="str">
        <f>"644020240512092920168240"</f>
        <v>644020240512092920168240</v>
      </c>
      <c r="F1230" s="9"/>
    </row>
    <row r="1231" s="2" customFormat="1" ht="30" customHeight="1" spans="1:6">
      <c r="A1231" s="9">
        <v>1228</v>
      </c>
      <c r="B1231" s="10" t="s">
        <v>1230</v>
      </c>
      <c r="C1231" s="10" t="s">
        <v>1231</v>
      </c>
      <c r="D1231" s="10" t="s">
        <v>1237</v>
      </c>
      <c r="E1231" s="10" t="str">
        <f>"644020240512094913168317"</f>
        <v>644020240512094913168317</v>
      </c>
      <c r="F1231" s="9"/>
    </row>
    <row r="1232" s="2" customFormat="1" ht="30" customHeight="1" spans="1:6">
      <c r="A1232" s="9">
        <v>1229</v>
      </c>
      <c r="B1232" s="10" t="s">
        <v>1230</v>
      </c>
      <c r="C1232" s="10" t="s">
        <v>1231</v>
      </c>
      <c r="D1232" s="10" t="s">
        <v>1238</v>
      </c>
      <c r="E1232" s="10" t="str">
        <f>"644020240512091021168142"</f>
        <v>644020240512091021168142</v>
      </c>
      <c r="F1232" s="9"/>
    </row>
    <row r="1233" s="2" customFormat="1" ht="30" customHeight="1" spans="1:6">
      <c r="A1233" s="9">
        <v>1230</v>
      </c>
      <c r="B1233" s="10" t="s">
        <v>1230</v>
      </c>
      <c r="C1233" s="10" t="s">
        <v>1231</v>
      </c>
      <c r="D1233" s="10" t="s">
        <v>1239</v>
      </c>
      <c r="E1233" s="10" t="str">
        <f>"644020240512100514168418"</f>
        <v>644020240512100514168418</v>
      </c>
      <c r="F1233" s="9"/>
    </row>
    <row r="1234" s="2" customFormat="1" ht="30" customHeight="1" spans="1:6">
      <c r="A1234" s="9">
        <v>1231</v>
      </c>
      <c r="B1234" s="10" t="s">
        <v>1230</v>
      </c>
      <c r="C1234" s="10" t="s">
        <v>1231</v>
      </c>
      <c r="D1234" s="10" t="s">
        <v>1240</v>
      </c>
      <c r="E1234" s="10" t="str">
        <f>"644020240512100459168417"</f>
        <v>644020240512100459168417</v>
      </c>
      <c r="F1234" s="9"/>
    </row>
    <row r="1235" s="2" customFormat="1" ht="30" customHeight="1" spans="1:6">
      <c r="A1235" s="9">
        <v>1232</v>
      </c>
      <c r="B1235" s="10" t="s">
        <v>1230</v>
      </c>
      <c r="C1235" s="10" t="s">
        <v>1231</v>
      </c>
      <c r="D1235" s="10" t="s">
        <v>1241</v>
      </c>
      <c r="E1235" s="10" t="str">
        <f>"644020240512090950168138"</f>
        <v>644020240512090950168138</v>
      </c>
      <c r="F1235" s="9"/>
    </row>
    <row r="1236" s="2" customFormat="1" ht="30" customHeight="1" spans="1:6">
      <c r="A1236" s="9">
        <v>1233</v>
      </c>
      <c r="B1236" s="10" t="s">
        <v>1230</v>
      </c>
      <c r="C1236" s="10" t="s">
        <v>1231</v>
      </c>
      <c r="D1236" s="10" t="s">
        <v>1242</v>
      </c>
      <c r="E1236" s="10" t="str">
        <f>"644020240512091214168159"</f>
        <v>644020240512091214168159</v>
      </c>
      <c r="F1236" s="9"/>
    </row>
    <row r="1237" s="2" customFormat="1" ht="30" customHeight="1" spans="1:6">
      <c r="A1237" s="9">
        <v>1234</v>
      </c>
      <c r="B1237" s="10" t="s">
        <v>1230</v>
      </c>
      <c r="C1237" s="10" t="s">
        <v>1231</v>
      </c>
      <c r="D1237" s="10" t="s">
        <v>1243</v>
      </c>
      <c r="E1237" s="10" t="str">
        <f>"644020240512094000168287"</f>
        <v>644020240512094000168287</v>
      </c>
      <c r="F1237" s="9"/>
    </row>
    <row r="1238" s="2" customFormat="1" ht="30" customHeight="1" spans="1:6">
      <c r="A1238" s="9">
        <v>1235</v>
      </c>
      <c r="B1238" s="10" t="s">
        <v>1230</v>
      </c>
      <c r="C1238" s="10" t="s">
        <v>1231</v>
      </c>
      <c r="D1238" s="10" t="s">
        <v>1244</v>
      </c>
      <c r="E1238" s="10" t="str">
        <f>"644020240512102537168540"</f>
        <v>644020240512102537168540</v>
      </c>
      <c r="F1238" s="9"/>
    </row>
    <row r="1239" s="2" customFormat="1" ht="30" customHeight="1" spans="1:6">
      <c r="A1239" s="9">
        <v>1236</v>
      </c>
      <c r="B1239" s="10" t="s">
        <v>1230</v>
      </c>
      <c r="C1239" s="10" t="s">
        <v>1231</v>
      </c>
      <c r="D1239" s="10" t="s">
        <v>1245</v>
      </c>
      <c r="E1239" s="10" t="str">
        <f>"644020240512103600168600"</f>
        <v>644020240512103600168600</v>
      </c>
      <c r="F1239" s="9"/>
    </row>
    <row r="1240" s="2" customFormat="1" ht="30" customHeight="1" spans="1:6">
      <c r="A1240" s="9">
        <v>1237</v>
      </c>
      <c r="B1240" s="10" t="s">
        <v>1230</v>
      </c>
      <c r="C1240" s="10" t="s">
        <v>1231</v>
      </c>
      <c r="D1240" s="10" t="s">
        <v>1246</v>
      </c>
      <c r="E1240" s="10" t="str">
        <f>"644020240512102329168524"</f>
        <v>644020240512102329168524</v>
      </c>
      <c r="F1240" s="9"/>
    </row>
    <row r="1241" s="2" customFormat="1" ht="30" customHeight="1" spans="1:6">
      <c r="A1241" s="9">
        <v>1238</v>
      </c>
      <c r="B1241" s="10" t="s">
        <v>1230</v>
      </c>
      <c r="C1241" s="10" t="s">
        <v>1231</v>
      </c>
      <c r="D1241" s="10" t="s">
        <v>1247</v>
      </c>
      <c r="E1241" s="10" t="str">
        <f>"644020240512103914168615"</f>
        <v>644020240512103914168615</v>
      </c>
      <c r="F1241" s="9"/>
    </row>
    <row r="1242" s="2" customFormat="1" ht="30" customHeight="1" spans="1:6">
      <c r="A1242" s="9">
        <v>1239</v>
      </c>
      <c r="B1242" s="10" t="s">
        <v>1230</v>
      </c>
      <c r="C1242" s="10" t="s">
        <v>1231</v>
      </c>
      <c r="D1242" s="10" t="s">
        <v>1248</v>
      </c>
      <c r="E1242" s="10" t="str">
        <f>"644020240512095911168384"</f>
        <v>644020240512095911168384</v>
      </c>
      <c r="F1242" s="9"/>
    </row>
    <row r="1243" s="2" customFormat="1" ht="30" customHeight="1" spans="1:6">
      <c r="A1243" s="9">
        <v>1240</v>
      </c>
      <c r="B1243" s="10" t="s">
        <v>1230</v>
      </c>
      <c r="C1243" s="10" t="s">
        <v>1231</v>
      </c>
      <c r="D1243" s="10" t="s">
        <v>1249</v>
      </c>
      <c r="E1243" s="10" t="str">
        <f>"644020240512100955168444"</f>
        <v>644020240512100955168444</v>
      </c>
      <c r="F1243" s="9"/>
    </row>
    <row r="1244" s="2" customFormat="1" ht="30" customHeight="1" spans="1:6">
      <c r="A1244" s="9">
        <v>1241</v>
      </c>
      <c r="B1244" s="10" t="s">
        <v>1230</v>
      </c>
      <c r="C1244" s="10" t="s">
        <v>1231</v>
      </c>
      <c r="D1244" s="10" t="s">
        <v>1250</v>
      </c>
      <c r="E1244" s="10" t="str">
        <f>"644020240512110149168734"</f>
        <v>644020240512110149168734</v>
      </c>
      <c r="F1244" s="9"/>
    </row>
    <row r="1245" s="2" customFormat="1" ht="30" customHeight="1" spans="1:6">
      <c r="A1245" s="9">
        <v>1242</v>
      </c>
      <c r="B1245" s="10" t="s">
        <v>1230</v>
      </c>
      <c r="C1245" s="10" t="s">
        <v>1231</v>
      </c>
      <c r="D1245" s="10" t="s">
        <v>1251</v>
      </c>
      <c r="E1245" s="10" t="str">
        <f>"644020240512104234168634"</f>
        <v>644020240512104234168634</v>
      </c>
      <c r="F1245" s="9"/>
    </row>
    <row r="1246" s="2" customFormat="1" ht="30" customHeight="1" spans="1:6">
      <c r="A1246" s="9">
        <v>1243</v>
      </c>
      <c r="B1246" s="10" t="s">
        <v>1230</v>
      </c>
      <c r="C1246" s="10" t="s">
        <v>1231</v>
      </c>
      <c r="D1246" s="10" t="s">
        <v>1252</v>
      </c>
      <c r="E1246" s="10" t="str">
        <f>"644020240512102428168532"</f>
        <v>644020240512102428168532</v>
      </c>
      <c r="F1246" s="9"/>
    </row>
    <row r="1247" s="2" customFormat="1" ht="30" customHeight="1" spans="1:6">
      <c r="A1247" s="9">
        <v>1244</v>
      </c>
      <c r="B1247" s="10" t="s">
        <v>1230</v>
      </c>
      <c r="C1247" s="10" t="s">
        <v>1231</v>
      </c>
      <c r="D1247" s="10" t="s">
        <v>1253</v>
      </c>
      <c r="E1247" s="10" t="str">
        <f>"644020240512104020168625"</f>
        <v>644020240512104020168625</v>
      </c>
      <c r="F1247" s="9"/>
    </row>
    <row r="1248" s="2" customFormat="1" ht="30" customHeight="1" spans="1:6">
      <c r="A1248" s="9">
        <v>1245</v>
      </c>
      <c r="B1248" s="10" t="s">
        <v>1230</v>
      </c>
      <c r="C1248" s="10" t="s">
        <v>1231</v>
      </c>
      <c r="D1248" s="10" t="s">
        <v>1254</v>
      </c>
      <c r="E1248" s="10" t="str">
        <f>"644020240512110118168729"</f>
        <v>644020240512110118168729</v>
      </c>
      <c r="F1248" s="9"/>
    </row>
    <row r="1249" s="2" customFormat="1" ht="30" customHeight="1" spans="1:6">
      <c r="A1249" s="9">
        <v>1246</v>
      </c>
      <c r="B1249" s="10" t="s">
        <v>1230</v>
      </c>
      <c r="C1249" s="10" t="s">
        <v>1231</v>
      </c>
      <c r="D1249" s="10" t="s">
        <v>1255</v>
      </c>
      <c r="E1249" s="10" t="str">
        <f>"644020240512110346168743"</f>
        <v>644020240512110346168743</v>
      </c>
      <c r="F1249" s="9"/>
    </row>
    <row r="1250" s="2" customFormat="1" ht="30" customHeight="1" spans="1:6">
      <c r="A1250" s="9">
        <v>1247</v>
      </c>
      <c r="B1250" s="10" t="s">
        <v>1230</v>
      </c>
      <c r="C1250" s="10" t="s">
        <v>1231</v>
      </c>
      <c r="D1250" s="10" t="s">
        <v>1256</v>
      </c>
      <c r="E1250" s="10" t="str">
        <f>"644020240512091026168143"</f>
        <v>644020240512091026168143</v>
      </c>
      <c r="F1250" s="9"/>
    </row>
    <row r="1251" s="2" customFormat="1" ht="30" customHeight="1" spans="1:6">
      <c r="A1251" s="9">
        <v>1248</v>
      </c>
      <c r="B1251" s="10" t="s">
        <v>1230</v>
      </c>
      <c r="C1251" s="10" t="s">
        <v>1231</v>
      </c>
      <c r="D1251" s="10" t="s">
        <v>1257</v>
      </c>
      <c r="E1251" s="10" t="str">
        <f>"644020240512101210168459"</f>
        <v>644020240512101210168459</v>
      </c>
      <c r="F1251" s="9"/>
    </row>
    <row r="1252" s="2" customFormat="1" ht="30" customHeight="1" spans="1:6">
      <c r="A1252" s="9">
        <v>1249</v>
      </c>
      <c r="B1252" s="10" t="s">
        <v>1230</v>
      </c>
      <c r="C1252" s="10" t="s">
        <v>1231</v>
      </c>
      <c r="D1252" s="10" t="s">
        <v>1258</v>
      </c>
      <c r="E1252" s="10" t="str">
        <f>"644020240512091508168173"</f>
        <v>644020240512091508168173</v>
      </c>
      <c r="F1252" s="9"/>
    </row>
    <row r="1253" s="2" customFormat="1" ht="30" customHeight="1" spans="1:6">
      <c r="A1253" s="9">
        <v>1250</v>
      </c>
      <c r="B1253" s="10" t="s">
        <v>1230</v>
      </c>
      <c r="C1253" s="10" t="s">
        <v>1231</v>
      </c>
      <c r="D1253" s="10" t="s">
        <v>1259</v>
      </c>
      <c r="E1253" s="10" t="str">
        <f>"644020240512102441168535"</f>
        <v>644020240512102441168535</v>
      </c>
      <c r="F1253" s="9"/>
    </row>
    <row r="1254" s="2" customFormat="1" ht="30" customHeight="1" spans="1:6">
      <c r="A1254" s="9">
        <v>1251</v>
      </c>
      <c r="B1254" s="10" t="s">
        <v>1230</v>
      </c>
      <c r="C1254" s="10" t="s">
        <v>1231</v>
      </c>
      <c r="D1254" s="10" t="s">
        <v>1260</v>
      </c>
      <c r="E1254" s="10" t="str">
        <f>"644020240512114511168958"</f>
        <v>644020240512114511168958</v>
      </c>
      <c r="F1254" s="9"/>
    </row>
    <row r="1255" s="2" customFormat="1" ht="30" customHeight="1" spans="1:6">
      <c r="A1255" s="9">
        <v>1252</v>
      </c>
      <c r="B1255" s="10" t="s">
        <v>1230</v>
      </c>
      <c r="C1255" s="10" t="s">
        <v>1231</v>
      </c>
      <c r="D1255" s="10" t="s">
        <v>1261</v>
      </c>
      <c r="E1255" s="10" t="str">
        <f>"644020240512111523168800"</f>
        <v>644020240512111523168800</v>
      </c>
      <c r="F1255" s="9"/>
    </row>
    <row r="1256" s="2" customFormat="1" ht="30" customHeight="1" spans="1:6">
      <c r="A1256" s="9">
        <v>1253</v>
      </c>
      <c r="B1256" s="10" t="s">
        <v>1230</v>
      </c>
      <c r="C1256" s="10" t="s">
        <v>1231</v>
      </c>
      <c r="D1256" s="10" t="s">
        <v>1262</v>
      </c>
      <c r="E1256" s="10" t="str">
        <f>"644020240512112514168859"</f>
        <v>644020240512112514168859</v>
      </c>
      <c r="F1256" s="9"/>
    </row>
    <row r="1257" s="2" customFormat="1" ht="30" customHeight="1" spans="1:6">
      <c r="A1257" s="9">
        <v>1254</v>
      </c>
      <c r="B1257" s="10" t="s">
        <v>1230</v>
      </c>
      <c r="C1257" s="10" t="s">
        <v>1231</v>
      </c>
      <c r="D1257" s="10" t="s">
        <v>1263</v>
      </c>
      <c r="E1257" s="10" t="str">
        <f>"644020240512101816168486"</f>
        <v>644020240512101816168486</v>
      </c>
      <c r="F1257" s="9"/>
    </row>
    <row r="1258" s="2" customFormat="1" ht="30" customHeight="1" spans="1:6">
      <c r="A1258" s="9">
        <v>1255</v>
      </c>
      <c r="B1258" s="10" t="s">
        <v>1230</v>
      </c>
      <c r="C1258" s="10" t="s">
        <v>1231</v>
      </c>
      <c r="D1258" s="10" t="s">
        <v>1264</v>
      </c>
      <c r="E1258" s="10" t="str">
        <f>"644020240512112717168871"</f>
        <v>644020240512112717168871</v>
      </c>
      <c r="F1258" s="9"/>
    </row>
    <row r="1259" s="2" customFormat="1" ht="30" customHeight="1" spans="1:6">
      <c r="A1259" s="9">
        <v>1256</v>
      </c>
      <c r="B1259" s="10" t="s">
        <v>1230</v>
      </c>
      <c r="C1259" s="10" t="s">
        <v>1231</v>
      </c>
      <c r="D1259" s="10" t="s">
        <v>1265</v>
      </c>
      <c r="E1259" s="10" t="str">
        <f>"644020240512113215168894"</f>
        <v>644020240512113215168894</v>
      </c>
      <c r="F1259" s="9"/>
    </row>
    <row r="1260" s="2" customFormat="1" ht="30" customHeight="1" spans="1:6">
      <c r="A1260" s="9">
        <v>1257</v>
      </c>
      <c r="B1260" s="10" t="s">
        <v>1230</v>
      </c>
      <c r="C1260" s="10" t="s">
        <v>1231</v>
      </c>
      <c r="D1260" s="10" t="s">
        <v>1266</v>
      </c>
      <c r="E1260" s="10" t="str">
        <f>"644020240512105339168688"</f>
        <v>644020240512105339168688</v>
      </c>
      <c r="F1260" s="9"/>
    </row>
    <row r="1261" s="2" customFormat="1" ht="30" customHeight="1" spans="1:6">
      <c r="A1261" s="9">
        <v>1258</v>
      </c>
      <c r="B1261" s="10" t="s">
        <v>1230</v>
      </c>
      <c r="C1261" s="10" t="s">
        <v>1231</v>
      </c>
      <c r="D1261" s="10" t="s">
        <v>1267</v>
      </c>
      <c r="E1261" s="10" t="str">
        <f>"644020240512115337168982"</f>
        <v>644020240512115337168982</v>
      </c>
      <c r="F1261" s="9"/>
    </row>
    <row r="1262" s="2" customFormat="1" ht="30" customHeight="1" spans="1:6">
      <c r="A1262" s="9">
        <v>1259</v>
      </c>
      <c r="B1262" s="10" t="s">
        <v>1230</v>
      </c>
      <c r="C1262" s="10" t="s">
        <v>1231</v>
      </c>
      <c r="D1262" s="10" t="s">
        <v>1268</v>
      </c>
      <c r="E1262" s="10" t="str">
        <f>"644020240512111309168788"</f>
        <v>644020240512111309168788</v>
      </c>
      <c r="F1262" s="9"/>
    </row>
    <row r="1263" s="2" customFormat="1" ht="30" customHeight="1" spans="1:6">
      <c r="A1263" s="9">
        <v>1260</v>
      </c>
      <c r="B1263" s="10" t="s">
        <v>1230</v>
      </c>
      <c r="C1263" s="10" t="s">
        <v>1231</v>
      </c>
      <c r="D1263" s="10" t="s">
        <v>1269</v>
      </c>
      <c r="E1263" s="10" t="str">
        <f>"644020240512092915168239"</f>
        <v>644020240512092915168239</v>
      </c>
      <c r="F1263" s="9"/>
    </row>
    <row r="1264" s="2" customFormat="1" ht="30" customHeight="1" spans="1:6">
      <c r="A1264" s="9">
        <v>1261</v>
      </c>
      <c r="B1264" s="10" t="s">
        <v>1230</v>
      </c>
      <c r="C1264" s="10" t="s">
        <v>1231</v>
      </c>
      <c r="D1264" s="10" t="s">
        <v>1270</v>
      </c>
      <c r="E1264" s="10" t="str">
        <f>"644020240512122803169111"</f>
        <v>644020240512122803169111</v>
      </c>
      <c r="F1264" s="9"/>
    </row>
    <row r="1265" s="2" customFormat="1" ht="30" customHeight="1" spans="1:6">
      <c r="A1265" s="9">
        <v>1262</v>
      </c>
      <c r="B1265" s="10" t="s">
        <v>1230</v>
      </c>
      <c r="C1265" s="10" t="s">
        <v>1231</v>
      </c>
      <c r="D1265" s="10" t="s">
        <v>1271</v>
      </c>
      <c r="E1265" s="10" t="str">
        <f>"644020240512100033168394"</f>
        <v>644020240512100033168394</v>
      </c>
      <c r="F1265" s="9"/>
    </row>
    <row r="1266" s="2" customFormat="1" ht="30" customHeight="1" spans="1:6">
      <c r="A1266" s="9">
        <v>1263</v>
      </c>
      <c r="B1266" s="10" t="s">
        <v>1230</v>
      </c>
      <c r="C1266" s="10" t="s">
        <v>1231</v>
      </c>
      <c r="D1266" s="10" t="s">
        <v>1272</v>
      </c>
      <c r="E1266" s="10" t="str">
        <f>"644020240512122106169091"</f>
        <v>644020240512122106169091</v>
      </c>
      <c r="F1266" s="9"/>
    </row>
    <row r="1267" s="2" customFormat="1" ht="30" customHeight="1" spans="1:6">
      <c r="A1267" s="9">
        <v>1264</v>
      </c>
      <c r="B1267" s="10" t="s">
        <v>1230</v>
      </c>
      <c r="C1267" s="10" t="s">
        <v>1231</v>
      </c>
      <c r="D1267" s="10" t="s">
        <v>1273</v>
      </c>
      <c r="E1267" s="10" t="str">
        <f>"644020240512123748169151"</f>
        <v>644020240512123748169151</v>
      </c>
      <c r="F1267" s="9"/>
    </row>
    <row r="1268" s="2" customFormat="1" ht="30" customHeight="1" spans="1:6">
      <c r="A1268" s="9">
        <v>1265</v>
      </c>
      <c r="B1268" s="10" t="s">
        <v>1230</v>
      </c>
      <c r="C1268" s="10" t="s">
        <v>1231</v>
      </c>
      <c r="D1268" s="10" t="s">
        <v>1274</v>
      </c>
      <c r="E1268" s="10" t="str">
        <f>"644020240512123620169144"</f>
        <v>644020240512123620169144</v>
      </c>
      <c r="F1268" s="9"/>
    </row>
    <row r="1269" s="2" customFormat="1" ht="30" customHeight="1" spans="1:6">
      <c r="A1269" s="9">
        <v>1266</v>
      </c>
      <c r="B1269" s="10" t="s">
        <v>1230</v>
      </c>
      <c r="C1269" s="10" t="s">
        <v>1231</v>
      </c>
      <c r="D1269" s="10" t="s">
        <v>1275</v>
      </c>
      <c r="E1269" s="10" t="str">
        <f>"644020240512130117169240"</f>
        <v>644020240512130117169240</v>
      </c>
      <c r="F1269" s="9"/>
    </row>
    <row r="1270" s="2" customFormat="1" ht="30" customHeight="1" spans="1:6">
      <c r="A1270" s="9">
        <v>1267</v>
      </c>
      <c r="B1270" s="10" t="s">
        <v>1230</v>
      </c>
      <c r="C1270" s="10" t="s">
        <v>1231</v>
      </c>
      <c r="D1270" s="10" t="s">
        <v>1276</v>
      </c>
      <c r="E1270" s="10" t="str">
        <f>"644020240512115434168987"</f>
        <v>644020240512115434168987</v>
      </c>
      <c r="F1270" s="9"/>
    </row>
    <row r="1271" s="2" customFormat="1" ht="30" customHeight="1" spans="1:6">
      <c r="A1271" s="9">
        <v>1268</v>
      </c>
      <c r="B1271" s="10" t="s">
        <v>1230</v>
      </c>
      <c r="C1271" s="10" t="s">
        <v>1231</v>
      </c>
      <c r="D1271" s="10" t="s">
        <v>1277</v>
      </c>
      <c r="E1271" s="10" t="str">
        <f>"644020240512123452169138"</f>
        <v>644020240512123452169138</v>
      </c>
      <c r="F1271" s="9"/>
    </row>
    <row r="1272" s="2" customFormat="1" ht="30" customHeight="1" spans="1:6">
      <c r="A1272" s="9">
        <v>1269</v>
      </c>
      <c r="B1272" s="10" t="s">
        <v>1230</v>
      </c>
      <c r="C1272" s="10" t="s">
        <v>1231</v>
      </c>
      <c r="D1272" s="10" t="s">
        <v>1278</v>
      </c>
      <c r="E1272" s="10" t="str">
        <f>"644020240512114731168967"</f>
        <v>644020240512114731168967</v>
      </c>
      <c r="F1272" s="9"/>
    </row>
    <row r="1273" s="2" customFormat="1" ht="30" customHeight="1" spans="1:6">
      <c r="A1273" s="9">
        <v>1270</v>
      </c>
      <c r="B1273" s="10" t="s">
        <v>1230</v>
      </c>
      <c r="C1273" s="10" t="s">
        <v>1231</v>
      </c>
      <c r="D1273" s="10" t="s">
        <v>1279</v>
      </c>
      <c r="E1273" s="10" t="str">
        <f>"644020240512133646169389"</f>
        <v>644020240512133646169389</v>
      </c>
      <c r="F1273" s="9"/>
    </row>
    <row r="1274" s="2" customFormat="1" ht="30" customHeight="1" spans="1:6">
      <c r="A1274" s="9">
        <v>1271</v>
      </c>
      <c r="B1274" s="10" t="s">
        <v>1230</v>
      </c>
      <c r="C1274" s="10" t="s">
        <v>1231</v>
      </c>
      <c r="D1274" s="10" t="s">
        <v>1280</v>
      </c>
      <c r="E1274" s="10" t="str">
        <f>"644020240512123707169148"</f>
        <v>644020240512123707169148</v>
      </c>
      <c r="F1274" s="9"/>
    </row>
    <row r="1275" s="2" customFormat="1" ht="30" customHeight="1" spans="1:6">
      <c r="A1275" s="9">
        <v>1272</v>
      </c>
      <c r="B1275" s="10" t="s">
        <v>1230</v>
      </c>
      <c r="C1275" s="10" t="s">
        <v>1231</v>
      </c>
      <c r="D1275" s="10" t="s">
        <v>1281</v>
      </c>
      <c r="E1275" s="10" t="str">
        <f>"644020240512102255168521"</f>
        <v>644020240512102255168521</v>
      </c>
      <c r="F1275" s="9"/>
    </row>
    <row r="1276" s="2" customFormat="1" ht="30" customHeight="1" spans="1:6">
      <c r="A1276" s="9">
        <v>1273</v>
      </c>
      <c r="B1276" s="10" t="s">
        <v>1230</v>
      </c>
      <c r="C1276" s="10" t="s">
        <v>1231</v>
      </c>
      <c r="D1276" s="10" t="s">
        <v>1282</v>
      </c>
      <c r="E1276" s="10" t="str">
        <f>"644020240512132050169325"</f>
        <v>644020240512132050169325</v>
      </c>
      <c r="F1276" s="9"/>
    </row>
    <row r="1277" s="2" customFormat="1" ht="30" customHeight="1" spans="1:6">
      <c r="A1277" s="9">
        <v>1274</v>
      </c>
      <c r="B1277" s="10" t="s">
        <v>1230</v>
      </c>
      <c r="C1277" s="10" t="s">
        <v>1231</v>
      </c>
      <c r="D1277" s="10" t="s">
        <v>1283</v>
      </c>
      <c r="E1277" s="10" t="str">
        <f>"644020240512094357168301"</f>
        <v>644020240512094357168301</v>
      </c>
      <c r="F1277" s="9"/>
    </row>
    <row r="1278" s="2" customFormat="1" ht="30" customHeight="1" spans="1:6">
      <c r="A1278" s="9">
        <v>1275</v>
      </c>
      <c r="B1278" s="10" t="s">
        <v>1230</v>
      </c>
      <c r="C1278" s="10" t="s">
        <v>1231</v>
      </c>
      <c r="D1278" s="10" t="s">
        <v>1284</v>
      </c>
      <c r="E1278" s="10" t="str">
        <f>"644020240512135832169454"</f>
        <v>644020240512135832169454</v>
      </c>
      <c r="F1278" s="9"/>
    </row>
    <row r="1279" s="2" customFormat="1" ht="30" customHeight="1" spans="1:6">
      <c r="A1279" s="9">
        <v>1276</v>
      </c>
      <c r="B1279" s="10" t="s">
        <v>1230</v>
      </c>
      <c r="C1279" s="10" t="s">
        <v>1231</v>
      </c>
      <c r="D1279" s="10" t="s">
        <v>1285</v>
      </c>
      <c r="E1279" s="10" t="str">
        <f>"644020240512105929168718"</f>
        <v>644020240512105929168718</v>
      </c>
      <c r="F1279" s="9"/>
    </row>
    <row r="1280" s="2" customFormat="1" ht="30" customHeight="1" spans="1:6">
      <c r="A1280" s="9">
        <v>1277</v>
      </c>
      <c r="B1280" s="10" t="s">
        <v>1230</v>
      </c>
      <c r="C1280" s="10" t="s">
        <v>1231</v>
      </c>
      <c r="D1280" s="10" t="s">
        <v>1286</v>
      </c>
      <c r="E1280" s="10" t="str">
        <f>"644020240512140750169479"</f>
        <v>644020240512140750169479</v>
      </c>
      <c r="F1280" s="9"/>
    </row>
    <row r="1281" s="2" customFormat="1" ht="30" customHeight="1" spans="1:6">
      <c r="A1281" s="9">
        <v>1278</v>
      </c>
      <c r="B1281" s="10" t="s">
        <v>1230</v>
      </c>
      <c r="C1281" s="10" t="s">
        <v>1231</v>
      </c>
      <c r="D1281" s="10" t="s">
        <v>1287</v>
      </c>
      <c r="E1281" s="10" t="str">
        <f>"644020240512142010169525"</f>
        <v>644020240512142010169525</v>
      </c>
      <c r="F1281" s="9"/>
    </row>
    <row r="1282" s="2" customFormat="1" ht="30" customHeight="1" spans="1:6">
      <c r="A1282" s="9">
        <v>1279</v>
      </c>
      <c r="B1282" s="10" t="s">
        <v>1230</v>
      </c>
      <c r="C1282" s="10" t="s">
        <v>1231</v>
      </c>
      <c r="D1282" s="10" t="s">
        <v>1288</v>
      </c>
      <c r="E1282" s="10" t="str">
        <f>"644020240512135151169438"</f>
        <v>644020240512135151169438</v>
      </c>
      <c r="F1282" s="9"/>
    </row>
    <row r="1283" s="2" customFormat="1" ht="30" customHeight="1" spans="1:6">
      <c r="A1283" s="9">
        <v>1280</v>
      </c>
      <c r="B1283" s="10" t="s">
        <v>1230</v>
      </c>
      <c r="C1283" s="10" t="s">
        <v>1231</v>
      </c>
      <c r="D1283" s="10" t="s">
        <v>1289</v>
      </c>
      <c r="E1283" s="10" t="str">
        <f>"644020240512140637169472"</f>
        <v>644020240512140637169472</v>
      </c>
      <c r="F1283" s="9"/>
    </row>
    <row r="1284" s="2" customFormat="1" ht="30" customHeight="1" spans="1:6">
      <c r="A1284" s="9">
        <v>1281</v>
      </c>
      <c r="B1284" s="10" t="s">
        <v>1230</v>
      </c>
      <c r="C1284" s="10" t="s">
        <v>1231</v>
      </c>
      <c r="D1284" s="10" t="s">
        <v>1290</v>
      </c>
      <c r="E1284" s="10" t="str">
        <f>"644020240512131541169299"</f>
        <v>644020240512131541169299</v>
      </c>
      <c r="F1284" s="9"/>
    </row>
    <row r="1285" s="2" customFormat="1" ht="30" customHeight="1" spans="1:6">
      <c r="A1285" s="9">
        <v>1282</v>
      </c>
      <c r="B1285" s="10" t="s">
        <v>1230</v>
      </c>
      <c r="C1285" s="10" t="s">
        <v>1231</v>
      </c>
      <c r="D1285" s="10" t="s">
        <v>1291</v>
      </c>
      <c r="E1285" s="10" t="str">
        <f>"644020240512094314168297"</f>
        <v>644020240512094314168297</v>
      </c>
      <c r="F1285" s="9"/>
    </row>
    <row r="1286" s="2" customFormat="1" ht="30" customHeight="1" spans="1:6">
      <c r="A1286" s="9">
        <v>1283</v>
      </c>
      <c r="B1286" s="10" t="s">
        <v>1230</v>
      </c>
      <c r="C1286" s="10" t="s">
        <v>1231</v>
      </c>
      <c r="D1286" s="10" t="s">
        <v>1292</v>
      </c>
      <c r="E1286" s="10" t="str">
        <f>"644020240512124032169168"</f>
        <v>644020240512124032169168</v>
      </c>
      <c r="F1286" s="9"/>
    </row>
    <row r="1287" s="2" customFormat="1" ht="30" customHeight="1" spans="1:6">
      <c r="A1287" s="9">
        <v>1284</v>
      </c>
      <c r="B1287" s="10" t="s">
        <v>1230</v>
      </c>
      <c r="C1287" s="10" t="s">
        <v>1231</v>
      </c>
      <c r="D1287" s="10" t="s">
        <v>1293</v>
      </c>
      <c r="E1287" s="10" t="str">
        <f>"644020240512092522168218"</f>
        <v>644020240512092522168218</v>
      </c>
      <c r="F1287" s="9"/>
    </row>
    <row r="1288" s="2" customFormat="1" ht="30" customHeight="1" spans="1:6">
      <c r="A1288" s="9">
        <v>1285</v>
      </c>
      <c r="B1288" s="10" t="s">
        <v>1230</v>
      </c>
      <c r="C1288" s="10" t="s">
        <v>1231</v>
      </c>
      <c r="D1288" s="10" t="s">
        <v>1294</v>
      </c>
      <c r="E1288" s="10" t="str">
        <f>"644020240512151727169716"</f>
        <v>644020240512151727169716</v>
      </c>
      <c r="F1288" s="9"/>
    </row>
    <row r="1289" s="2" customFormat="1" ht="30" customHeight="1" spans="1:6">
      <c r="A1289" s="9">
        <v>1286</v>
      </c>
      <c r="B1289" s="10" t="s">
        <v>1230</v>
      </c>
      <c r="C1289" s="10" t="s">
        <v>1231</v>
      </c>
      <c r="D1289" s="10" t="s">
        <v>1295</v>
      </c>
      <c r="E1289" s="10" t="str">
        <f>"644020240512144216169578"</f>
        <v>644020240512144216169578</v>
      </c>
      <c r="F1289" s="9"/>
    </row>
    <row r="1290" s="2" customFormat="1" ht="30" customHeight="1" spans="1:6">
      <c r="A1290" s="9">
        <v>1287</v>
      </c>
      <c r="B1290" s="10" t="s">
        <v>1230</v>
      </c>
      <c r="C1290" s="10" t="s">
        <v>1231</v>
      </c>
      <c r="D1290" s="10" t="s">
        <v>1296</v>
      </c>
      <c r="E1290" s="10" t="str">
        <f>"644020240512141204169492"</f>
        <v>644020240512141204169492</v>
      </c>
      <c r="F1290" s="9"/>
    </row>
    <row r="1291" s="2" customFormat="1" ht="30" customHeight="1" spans="1:6">
      <c r="A1291" s="9">
        <v>1288</v>
      </c>
      <c r="B1291" s="10" t="s">
        <v>1230</v>
      </c>
      <c r="C1291" s="10" t="s">
        <v>1231</v>
      </c>
      <c r="D1291" s="10" t="s">
        <v>1297</v>
      </c>
      <c r="E1291" s="10" t="str">
        <f>"644020240512150250169658"</f>
        <v>644020240512150250169658</v>
      </c>
      <c r="F1291" s="9"/>
    </row>
    <row r="1292" s="2" customFormat="1" ht="30" customHeight="1" spans="1:6">
      <c r="A1292" s="9">
        <v>1289</v>
      </c>
      <c r="B1292" s="10" t="s">
        <v>1230</v>
      </c>
      <c r="C1292" s="10" t="s">
        <v>1231</v>
      </c>
      <c r="D1292" s="10" t="s">
        <v>1298</v>
      </c>
      <c r="E1292" s="10" t="str">
        <f>"644020240512123627169145"</f>
        <v>644020240512123627169145</v>
      </c>
      <c r="F1292" s="9"/>
    </row>
    <row r="1293" s="2" customFormat="1" ht="30" customHeight="1" spans="1:6">
      <c r="A1293" s="9">
        <v>1290</v>
      </c>
      <c r="B1293" s="10" t="s">
        <v>1230</v>
      </c>
      <c r="C1293" s="10" t="s">
        <v>1231</v>
      </c>
      <c r="D1293" s="10" t="s">
        <v>1299</v>
      </c>
      <c r="E1293" s="10" t="str">
        <f>"644020240512151227169692"</f>
        <v>644020240512151227169692</v>
      </c>
      <c r="F1293" s="9"/>
    </row>
    <row r="1294" s="2" customFormat="1" ht="30" customHeight="1" spans="1:6">
      <c r="A1294" s="9">
        <v>1291</v>
      </c>
      <c r="B1294" s="10" t="s">
        <v>1230</v>
      </c>
      <c r="C1294" s="10" t="s">
        <v>1231</v>
      </c>
      <c r="D1294" s="10" t="s">
        <v>1300</v>
      </c>
      <c r="E1294" s="10" t="str">
        <f>"644020240512153800169793"</f>
        <v>644020240512153800169793</v>
      </c>
      <c r="F1294" s="9"/>
    </row>
    <row r="1295" s="2" customFormat="1" ht="30" customHeight="1" spans="1:6">
      <c r="A1295" s="9">
        <v>1292</v>
      </c>
      <c r="B1295" s="10" t="s">
        <v>1230</v>
      </c>
      <c r="C1295" s="10" t="s">
        <v>1231</v>
      </c>
      <c r="D1295" s="10" t="s">
        <v>1301</v>
      </c>
      <c r="E1295" s="10" t="str">
        <f>"644020240512152130169734"</f>
        <v>644020240512152130169734</v>
      </c>
      <c r="F1295" s="9"/>
    </row>
    <row r="1296" s="2" customFormat="1" ht="30" customHeight="1" spans="1:6">
      <c r="A1296" s="9">
        <v>1293</v>
      </c>
      <c r="B1296" s="10" t="s">
        <v>1230</v>
      </c>
      <c r="C1296" s="10" t="s">
        <v>1231</v>
      </c>
      <c r="D1296" s="10" t="s">
        <v>1302</v>
      </c>
      <c r="E1296" s="10" t="str">
        <f>"644020240512160232169887"</f>
        <v>644020240512160232169887</v>
      </c>
      <c r="F1296" s="9"/>
    </row>
    <row r="1297" s="2" customFormat="1" ht="30" customHeight="1" spans="1:6">
      <c r="A1297" s="9">
        <v>1294</v>
      </c>
      <c r="B1297" s="10" t="s">
        <v>1230</v>
      </c>
      <c r="C1297" s="10" t="s">
        <v>1231</v>
      </c>
      <c r="D1297" s="10" t="s">
        <v>1303</v>
      </c>
      <c r="E1297" s="10" t="str">
        <f>"644020240512160957169916"</f>
        <v>644020240512160957169916</v>
      </c>
      <c r="F1297" s="9"/>
    </row>
    <row r="1298" s="2" customFormat="1" ht="30" customHeight="1" spans="1:6">
      <c r="A1298" s="9">
        <v>1295</v>
      </c>
      <c r="B1298" s="10" t="s">
        <v>1230</v>
      </c>
      <c r="C1298" s="10" t="s">
        <v>1231</v>
      </c>
      <c r="D1298" s="10" t="s">
        <v>1304</v>
      </c>
      <c r="E1298" s="10" t="str">
        <f>"644020240512153923169800"</f>
        <v>644020240512153923169800</v>
      </c>
      <c r="F1298" s="9"/>
    </row>
    <row r="1299" s="2" customFormat="1" ht="30" customHeight="1" spans="1:6">
      <c r="A1299" s="9">
        <v>1296</v>
      </c>
      <c r="B1299" s="10" t="s">
        <v>1230</v>
      </c>
      <c r="C1299" s="10" t="s">
        <v>1231</v>
      </c>
      <c r="D1299" s="10" t="s">
        <v>1305</v>
      </c>
      <c r="E1299" s="10" t="str">
        <f>"644020240512130910169274"</f>
        <v>644020240512130910169274</v>
      </c>
      <c r="F1299" s="9"/>
    </row>
    <row r="1300" s="2" customFormat="1" ht="30" customHeight="1" spans="1:6">
      <c r="A1300" s="9">
        <v>1297</v>
      </c>
      <c r="B1300" s="10" t="s">
        <v>1230</v>
      </c>
      <c r="C1300" s="10" t="s">
        <v>1231</v>
      </c>
      <c r="D1300" s="10" t="s">
        <v>1306</v>
      </c>
      <c r="E1300" s="10" t="str">
        <f>"644020240512155408169857"</f>
        <v>644020240512155408169857</v>
      </c>
      <c r="F1300" s="9"/>
    </row>
    <row r="1301" s="2" customFormat="1" ht="30" customHeight="1" spans="1:6">
      <c r="A1301" s="9">
        <v>1298</v>
      </c>
      <c r="B1301" s="10" t="s">
        <v>1230</v>
      </c>
      <c r="C1301" s="10" t="s">
        <v>1231</v>
      </c>
      <c r="D1301" s="10" t="s">
        <v>1307</v>
      </c>
      <c r="E1301" s="10" t="str">
        <f>"644020240512162325169976"</f>
        <v>644020240512162325169976</v>
      </c>
      <c r="F1301" s="9"/>
    </row>
    <row r="1302" s="2" customFormat="1" ht="30" customHeight="1" spans="1:6">
      <c r="A1302" s="9">
        <v>1299</v>
      </c>
      <c r="B1302" s="10" t="s">
        <v>1230</v>
      </c>
      <c r="C1302" s="10" t="s">
        <v>1231</v>
      </c>
      <c r="D1302" s="10" t="s">
        <v>1255</v>
      </c>
      <c r="E1302" s="10" t="str">
        <f>"644020240512114012168936"</f>
        <v>644020240512114012168936</v>
      </c>
      <c r="F1302" s="9"/>
    </row>
    <row r="1303" s="2" customFormat="1" ht="30" customHeight="1" spans="1:6">
      <c r="A1303" s="9">
        <v>1300</v>
      </c>
      <c r="B1303" s="10" t="s">
        <v>1230</v>
      </c>
      <c r="C1303" s="10" t="s">
        <v>1231</v>
      </c>
      <c r="D1303" s="10" t="s">
        <v>1308</v>
      </c>
      <c r="E1303" s="10" t="str">
        <f>"644020240512133423169377"</f>
        <v>644020240512133423169377</v>
      </c>
      <c r="F1303" s="9"/>
    </row>
    <row r="1304" s="2" customFormat="1" ht="30" customHeight="1" spans="1:6">
      <c r="A1304" s="9">
        <v>1301</v>
      </c>
      <c r="B1304" s="10" t="s">
        <v>1230</v>
      </c>
      <c r="C1304" s="10" t="s">
        <v>1231</v>
      </c>
      <c r="D1304" s="10" t="s">
        <v>1309</v>
      </c>
      <c r="E1304" s="10" t="str">
        <f>"644020240512161012169918"</f>
        <v>644020240512161012169918</v>
      </c>
      <c r="F1304" s="9"/>
    </row>
    <row r="1305" s="2" customFormat="1" ht="30" customHeight="1" spans="1:6">
      <c r="A1305" s="9">
        <v>1302</v>
      </c>
      <c r="B1305" s="10" t="s">
        <v>1230</v>
      </c>
      <c r="C1305" s="10" t="s">
        <v>1231</v>
      </c>
      <c r="D1305" s="10" t="s">
        <v>1310</v>
      </c>
      <c r="E1305" s="10" t="str">
        <f>"644020240512160442169895"</f>
        <v>644020240512160442169895</v>
      </c>
      <c r="F1305" s="9"/>
    </row>
    <row r="1306" s="2" customFormat="1" ht="30" customHeight="1" spans="1:6">
      <c r="A1306" s="9">
        <v>1303</v>
      </c>
      <c r="B1306" s="10" t="s">
        <v>1230</v>
      </c>
      <c r="C1306" s="10" t="s">
        <v>1231</v>
      </c>
      <c r="D1306" s="10" t="s">
        <v>1311</v>
      </c>
      <c r="E1306" s="10" t="str">
        <f>"644020240512164958170078"</f>
        <v>644020240512164958170078</v>
      </c>
      <c r="F1306" s="9"/>
    </row>
    <row r="1307" s="2" customFormat="1" ht="30" customHeight="1" spans="1:6">
      <c r="A1307" s="9">
        <v>1304</v>
      </c>
      <c r="B1307" s="10" t="s">
        <v>1230</v>
      </c>
      <c r="C1307" s="10" t="s">
        <v>1231</v>
      </c>
      <c r="D1307" s="10" t="s">
        <v>1312</v>
      </c>
      <c r="E1307" s="10" t="str">
        <f>"644020240512165232170084"</f>
        <v>644020240512165232170084</v>
      </c>
      <c r="F1307" s="9"/>
    </row>
    <row r="1308" s="2" customFormat="1" ht="30" customHeight="1" spans="1:6">
      <c r="A1308" s="9">
        <v>1305</v>
      </c>
      <c r="B1308" s="10" t="s">
        <v>1230</v>
      </c>
      <c r="C1308" s="10" t="s">
        <v>1231</v>
      </c>
      <c r="D1308" s="10" t="s">
        <v>1313</v>
      </c>
      <c r="E1308" s="10" t="str">
        <f>"644020240512091529168174"</f>
        <v>644020240512091529168174</v>
      </c>
      <c r="F1308" s="9"/>
    </row>
    <row r="1309" s="2" customFormat="1" ht="30" customHeight="1" spans="1:6">
      <c r="A1309" s="9">
        <v>1306</v>
      </c>
      <c r="B1309" s="10" t="s">
        <v>1230</v>
      </c>
      <c r="C1309" s="10" t="s">
        <v>1231</v>
      </c>
      <c r="D1309" s="10" t="s">
        <v>1314</v>
      </c>
      <c r="E1309" s="10" t="str">
        <f>"644020240512171416170156"</f>
        <v>644020240512171416170156</v>
      </c>
      <c r="F1309" s="9"/>
    </row>
    <row r="1310" s="2" customFormat="1" ht="30" customHeight="1" spans="1:6">
      <c r="A1310" s="9">
        <v>1307</v>
      </c>
      <c r="B1310" s="10" t="s">
        <v>1230</v>
      </c>
      <c r="C1310" s="10" t="s">
        <v>1231</v>
      </c>
      <c r="D1310" s="10" t="s">
        <v>1315</v>
      </c>
      <c r="E1310" s="10" t="str">
        <f>"644020240512171838170171"</f>
        <v>644020240512171838170171</v>
      </c>
      <c r="F1310" s="9"/>
    </row>
    <row r="1311" s="2" customFormat="1" ht="30" customHeight="1" spans="1:6">
      <c r="A1311" s="9">
        <v>1308</v>
      </c>
      <c r="B1311" s="10" t="s">
        <v>1230</v>
      </c>
      <c r="C1311" s="10" t="s">
        <v>1231</v>
      </c>
      <c r="D1311" s="10" t="s">
        <v>1316</v>
      </c>
      <c r="E1311" s="10" t="str">
        <f>"644020240512170642170128"</f>
        <v>644020240512170642170128</v>
      </c>
      <c r="F1311" s="9"/>
    </row>
    <row r="1312" s="2" customFormat="1" ht="30" customHeight="1" spans="1:6">
      <c r="A1312" s="9">
        <v>1309</v>
      </c>
      <c r="B1312" s="10" t="s">
        <v>1230</v>
      </c>
      <c r="C1312" s="10" t="s">
        <v>1231</v>
      </c>
      <c r="D1312" s="10" t="s">
        <v>1317</v>
      </c>
      <c r="E1312" s="10" t="str">
        <f>"644020240512173054170216"</f>
        <v>644020240512173054170216</v>
      </c>
      <c r="F1312" s="9"/>
    </row>
    <row r="1313" s="2" customFormat="1" ht="30" customHeight="1" spans="1:6">
      <c r="A1313" s="9">
        <v>1310</v>
      </c>
      <c r="B1313" s="10" t="s">
        <v>1230</v>
      </c>
      <c r="C1313" s="10" t="s">
        <v>1231</v>
      </c>
      <c r="D1313" s="10" t="s">
        <v>1318</v>
      </c>
      <c r="E1313" s="10" t="str">
        <f>"644020240512101912168495"</f>
        <v>644020240512101912168495</v>
      </c>
      <c r="F1313" s="9"/>
    </row>
    <row r="1314" s="2" customFormat="1" ht="30" customHeight="1" spans="1:6">
      <c r="A1314" s="9">
        <v>1311</v>
      </c>
      <c r="B1314" s="10" t="s">
        <v>1230</v>
      </c>
      <c r="C1314" s="10" t="s">
        <v>1231</v>
      </c>
      <c r="D1314" s="10" t="s">
        <v>1319</v>
      </c>
      <c r="E1314" s="10" t="str">
        <f>"644020240512174003170248"</f>
        <v>644020240512174003170248</v>
      </c>
      <c r="F1314" s="9"/>
    </row>
    <row r="1315" s="2" customFormat="1" ht="30" customHeight="1" spans="1:6">
      <c r="A1315" s="9">
        <v>1312</v>
      </c>
      <c r="B1315" s="10" t="s">
        <v>1230</v>
      </c>
      <c r="C1315" s="10" t="s">
        <v>1231</v>
      </c>
      <c r="D1315" s="10" t="s">
        <v>1320</v>
      </c>
      <c r="E1315" s="10" t="str">
        <f>"644020240512171247170147"</f>
        <v>644020240512171247170147</v>
      </c>
      <c r="F1315" s="9"/>
    </row>
    <row r="1316" s="2" customFormat="1" ht="30" customHeight="1" spans="1:6">
      <c r="A1316" s="9">
        <v>1313</v>
      </c>
      <c r="B1316" s="10" t="s">
        <v>1230</v>
      </c>
      <c r="C1316" s="10" t="s">
        <v>1231</v>
      </c>
      <c r="D1316" s="10" t="s">
        <v>1321</v>
      </c>
      <c r="E1316" s="10" t="str">
        <f>"644020240512160652169903"</f>
        <v>644020240512160652169903</v>
      </c>
      <c r="F1316" s="9"/>
    </row>
    <row r="1317" s="2" customFormat="1" ht="30" customHeight="1" spans="1:6">
      <c r="A1317" s="9">
        <v>1314</v>
      </c>
      <c r="B1317" s="10" t="s">
        <v>1230</v>
      </c>
      <c r="C1317" s="10" t="s">
        <v>1231</v>
      </c>
      <c r="D1317" s="10" t="s">
        <v>1322</v>
      </c>
      <c r="E1317" s="10" t="str">
        <f>"644020240512175423170290"</f>
        <v>644020240512175423170290</v>
      </c>
      <c r="F1317" s="9"/>
    </row>
    <row r="1318" s="2" customFormat="1" ht="30" customHeight="1" spans="1:6">
      <c r="A1318" s="9">
        <v>1315</v>
      </c>
      <c r="B1318" s="10" t="s">
        <v>1230</v>
      </c>
      <c r="C1318" s="10" t="s">
        <v>1231</v>
      </c>
      <c r="D1318" s="10" t="s">
        <v>1323</v>
      </c>
      <c r="E1318" s="10" t="str">
        <f>"644020240512174333170256"</f>
        <v>644020240512174333170256</v>
      </c>
      <c r="F1318" s="9"/>
    </row>
    <row r="1319" s="2" customFormat="1" ht="30" customHeight="1" spans="1:6">
      <c r="A1319" s="9">
        <v>1316</v>
      </c>
      <c r="B1319" s="10" t="s">
        <v>1230</v>
      </c>
      <c r="C1319" s="10" t="s">
        <v>1231</v>
      </c>
      <c r="D1319" s="10" t="s">
        <v>1324</v>
      </c>
      <c r="E1319" s="10" t="str">
        <f>"644020240512105835168712"</f>
        <v>644020240512105835168712</v>
      </c>
      <c r="F1319" s="9"/>
    </row>
    <row r="1320" s="2" customFormat="1" ht="30" customHeight="1" spans="1:6">
      <c r="A1320" s="9">
        <v>1317</v>
      </c>
      <c r="B1320" s="10" t="s">
        <v>1230</v>
      </c>
      <c r="C1320" s="10" t="s">
        <v>1231</v>
      </c>
      <c r="D1320" s="10" t="s">
        <v>1325</v>
      </c>
      <c r="E1320" s="10" t="str">
        <f>"644020240512153037169765"</f>
        <v>644020240512153037169765</v>
      </c>
      <c r="F1320" s="9"/>
    </row>
    <row r="1321" s="2" customFormat="1" ht="30" customHeight="1" spans="1:6">
      <c r="A1321" s="9">
        <v>1318</v>
      </c>
      <c r="B1321" s="10" t="s">
        <v>1230</v>
      </c>
      <c r="C1321" s="10" t="s">
        <v>1231</v>
      </c>
      <c r="D1321" s="10" t="s">
        <v>1326</v>
      </c>
      <c r="E1321" s="10" t="str">
        <f>"644020240512172340170190"</f>
        <v>644020240512172340170190</v>
      </c>
      <c r="F1321" s="9"/>
    </row>
    <row r="1322" s="2" customFormat="1" ht="30" customHeight="1" spans="1:6">
      <c r="A1322" s="9">
        <v>1319</v>
      </c>
      <c r="B1322" s="10" t="s">
        <v>1230</v>
      </c>
      <c r="C1322" s="10" t="s">
        <v>1231</v>
      </c>
      <c r="D1322" s="10" t="s">
        <v>1327</v>
      </c>
      <c r="E1322" s="10" t="str">
        <f>"644020240512184125170441"</f>
        <v>644020240512184125170441</v>
      </c>
      <c r="F1322" s="9"/>
    </row>
    <row r="1323" s="2" customFormat="1" ht="30" customHeight="1" spans="1:6">
      <c r="A1323" s="9">
        <v>1320</v>
      </c>
      <c r="B1323" s="10" t="s">
        <v>1230</v>
      </c>
      <c r="C1323" s="10" t="s">
        <v>1231</v>
      </c>
      <c r="D1323" s="10" t="s">
        <v>1328</v>
      </c>
      <c r="E1323" s="10" t="str">
        <f>"644020240512162508169982"</f>
        <v>644020240512162508169982</v>
      </c>
      <c r="F1323" s="9"/>
    </row>
    <row r="1324" s="2" customFormat="1" ht="30" customHeight="1" spans="1:6">
      <c r="A1324" s="9">
        <v>1321</v>
      </c>
      <c r="B1324" s="10" t="s">
        <v>1230</v>
      </c>
      <c r="C1324" s="10" t="s">
        <v>1231</v>
      </c>
      <c r="D1324" s="10" t="s">
        <v>1329</v>
      </c>
      <c r="E1324" s="10" t="str">
        <f>"644020240512185055170478"</f>
        <v>644020240512185055170478</v>
      </c>
      <c r="F1324" s="9"/>
    </row>
    <row r="1325" s="2" customFormat="1" ht="30" customHeight="1" spans="1:6">
      <c r="A1325" s="9">
        <v>1322</v>
      </c>
      <c r="B1325" s="10" t="s">
        <v>1230</v>
      </c>
      <c r="C1325" s="10" t="s">
        <v>1231</v>
      </c>
      <c r="D1325" s="10" t="s">
        <v>1330</v>
      </c>
      <c r="E1325" s="10" t="str">
        <f>"644020240512185955170510"</f>
        <v>644020240512185955170510</v>
      </c>
      <c r="F1325" s="9"/>
    </row>
    <row r="1326" s="2" customFormat="1" ht="30" customHeight="1" spans="1:6">
      <c r="A1326" s="9">
        <v>1323</v>
      </c>
      <c r="B1326" s="10" t="s">
        <v>1230</v>
      </c>
      <c r="C1326" s="10" t="s">
        <v>1231</v>
      </c>
      <c r="D1326" s="10" t="s">
        <v>1331</v>
      </c>
      <c r="E1326" s="10" t="str">
        <f>"644020240512191735170555"</f>
        <v>644020240512191735170555</v>
      </c>
      <c r="F1326" s="9"/>
    </row>
    <row r="1327" s="2" customFormat="1" ht="30" customHeight="1" spans="1:6">
      <c r="A1327" s="9">
        <v>1324</v>
      </c>
      <c r="B1327" s="10" t="s">
        <v>1230</v>
      </c>
      <c r="C1327" s="10" t="s">
        <v>1231</v>
      </c>
      <c r="D1327" s="10" t="s">
        <v>1332</v>
      </c>
      <c r="E1327" s="10" t="str">
        <f>"644020240512104538168655"</f>
        <v>644020240512104538168655</v>
      </c>
      <c r="F1327" s="9"/>
    </row>
    <row r="1328" s="2" customFormat="1" ht="30" customHeight="1" spans="1:6">
      <c r="A1328" s="9">
        <v>1325</v>
      </c>
      <c r="B1328" s="10" t="s">
        <v>1230</v>
      </c>
      <c r="C1328" s="10" t="s">
        <v>1231</v>
      </c>
      <c r="D1328" s="10" t="s">
        <v>1333</v>
      </c>
      <c r="E1328" s="10" t="str">
        <f>"644020240512184741170471"</f>
        <v>644020240512184741170471</v>
      </c>
      <c r="F1328" s="9"/>
    </row>
    <row r="1329" s="2" customFormat="1" ht="30" customHeight="1" spans="1:6">
      <c r="A1329" s="9">
        <v>1326</v>
      </c>
      <c r="B1329" s="10" t="s">
        <v>1230</v>
      </c>
      <c r="C1329" s="10" t="s">
        <v>1231</v>
      </c>
      <c r="D1329" s="10" t="s">
        <v>1334</v>
      </c>
      <c r="E1329" s="10" t="str">
        <f>"644020240512192610170594"</f>
        <v>644020240512192610170594</v>
      </c>
      <c r="F1329" s="9"/>
    </row>
    <row r="1330" s="2" customFormat="1" ht="30" customHeight="1" spans="1:6">
      <c r="A1330" s="9">
        <v>1327</v>
      </c>
      <c r="B1330" s="10" t="s">
        <v>1230</v>
      </c>
      <c r="C1330" s="10" t="s">
        <v>1231</v>
      </c>
      <c r="D1330" s="10" t="s">
        <v>1335</v>
      </c>
      <c r="E1330" s="10" t="str">
        <f>"644020240512163142170006"</f>
        <v>644020240512163142170006</v>
      </c>
      <c r="F1330" s="9"/>
    </row>
    <row r="1331" s="2" customFormat="1" ht="30" customHeight="1" spans="1:6">
      <c r="A1331" s="9">
        <v>1328</v>
      </c>
      <c r="B1331" s="10" t="s">
        <v>1230</v>
      </c>
      <c r="C1331" s="10" t="s">
        <v>1231</v>
      </c>
      <c r="D1331" s="10" t="s">
        <v>1336</v>
      </c>
      <c r="E1331" s="10" t="str">
        <f>"644020240512182146170368"</f>
        <v>644020240512182146170368</v>
      </c>
      <c r="F1331" s="9"/>
    </row>
    <row r="1332" s="2" customFormat="1" ht="30" customHeight="1" spans="1:6">
      <c r="A1332" s="9">
        <v>1329</v>
      </c>
      <c r="B1332" s="10" t="s">
        <v>1230</v>
      </c>
      <c r="C1332" s="10" t="s">
        <v>1231</v>
      </c>
      <c r="D1332" s="10" t="s">
        <v>1337</v>
      </c>
      <c r="E1332" s="10" t="str">
        <f>"644020240512154524169820"</f>
        <v>644020240512154524169820</v>
      </c>
      <c r="F1332" s="9"/>
    </row>
    <row r="1333" s="2" customFormat="1" ht="30" customHeight="1" spans="1:6">
      <c r="A1333" s="9">
        <v>1330</v>
      </c>
      <c r="B1333" s="10" t="s">
        <v>1230</v>
      </c>
      <c r="C1333" s="10" t="s">
        <v>1231</v>
      </c>
      <c r="D1333" s="10" t="s">
        <v>1338</v>
      </c>
      <c r="E1333" s="10" t="str">
        <f>"644020240512182219170370"</f>
        <v>644020240512182219170370</v>
      </c>
      <c r="F1333" s="9"/>
    </row>
    <row r="1334" s="2" customFormat="1" ht="30" customHeight="1" spans="1:6">
      <c r="A1334" s="9">
        <v>1331</v>
      </c>
      <c r="B1334" s="10" t="s">
        <v>1230</v>
      </c>
      <c r="C1334" s="10" t="s">
        <v>1231</v>
      </c>
      <c r="D1334" s="10" t="s">
        <v>1339</v>
      </c>
      <c r="E1334" s="10" t="str">
        <f>"644020240512190823170533"</f>
        <v>644020240512190823170533</v>
      </c>
      <c r="F1334" s="9"/>
    </row>
    <row r="1335" s="2" customFormat="1" ht="30" customHeight="1" spans="1:6">
      <c r="A1335" s="9">
        <v>1332</v>
      </c>
      <c r="B1335" s="10" t="s">
        <v>1230</v>
      </c>
      <c r="C1335" s="10" t="s">
        <v>1231</v>
      </c>
      <c r="D1335" s="10" t="s">
        <v>1340</v>
      </c>
      <c r="E1335" s="10" t="str">
        <f>"644020240512192257170576"</f>
        <v>644020240512192257170576</v>
      </c>
      <c r="F1335" s="9"/>
    </row>
    <row r="1336" s="2" customFormat="1" ht="30" customHeight="1" spans="1:6">
      <c r="A1336" s="9">
        <v>1333</v>
      </c>
      <c r="B1336" s="10" t="s">
        <v>1230</v>
      </c>
      <c r="C1336" s="10" t="s">
        <v>1231</v>
      </c>
      <c r="D1336" s="10" t="s">
        <v>1341</v>
      </c>
      <c r="E1336" s="10" t="str">
        <f>"644020240512192346170580"</f>
        <v>644020240512192346170580</v>
      </c>
      <c r="F1336" s="9"/>
    </row>
    <row r="1337" s="2" customFormat="1" ht="30" customHeight="1" spans="1:6">
      <c r="A1337" s="9">
        <v>1334</v>
      </c>
      <c r="B1337" s="10" t="s">
        <v>1230</v>
      </c>
      <c r="C1337" s="10" t="s">
        <v>1231</v>
      </c>
      <c r="D1337" s="10" t="s">
        <v>1342</v>
      </c>
      <c r="E1337" s="10" t="str">
        <f>"644020240512200909170744"</f>
        <v>644020240512200909170744</v>
      </c>
      <c r="F1337" s="9"/>
    </row>
    <row r="1338" s="2" customFormat="1" ht="30" customHeight="1" spans="1:6">
      <c r="A1338" s="9">
        <v>1335</v>
      </c>
      <c r="B1338" s="10" t="s">
        <v>1230</v>
      </c>
      <c r="C1338" s="10" t="s">
        <v>1231</v>
      </c>
      <c r="D1338" s="10" t="s">
        <v>1343</v>
      </c>
      <c r="E1338" s="10" t="str">
        <f>"644020240512202604170820"</f>
        <v>644020240512202604170820</v>
      </c>
      <c r="F1338" s="9"/>
    </row>
    <row r="1339" s="2" customFormat="1" ht="30" customHeight="1" spans="1:6">
      <c r="A1339" s="9">
        <v>1336</v>
      </c>
      <c r="B1339" s="10" t="s">
        <v>1230</v>
      </c>
      <c r="C1339" s="10" t="s">
        <v>1231</v>
      </c>
      <c r="D1339" s="10" t="s">
        <v>1344</v>
      </c>
      <c r="E1339" s="10" t="str">
        <f>"644020240512103523168596"</f>
        <v>644020240512103523168596</v>
      </c>
      <c r="F1339" s="9"/>
    </row>
    <row r="1340" s="2" customFormat="1" ht="30" customHeight="1" spans="1:6">
      <c r="A1340" s="9">
        <v>1337</v>
      </c>
      <c r="B1340" s="10" t="s">
        <v>1230</v>
      </c>
      <c r="C1340" s="10" t="s">
        <v>1231</v>
      </c>
      <c r="D1340" s="10" t="s">
        <v>1345</v>
      </c>
      <c r="E1340" s="10" t="str">
        <f>"644020240512192531170590"</f>
        <v>644020240512192531170590</v>
      </c>
      <c r="F1340" s="9"/>
    </row>
    <row r="1341" s="2" customFormat="1" ht="30" customHeight="1" spans="1:6">
      <c r="A1341" s="9">
        <v>1338</v>
      </c>
      <c r="B1341" s="10" t="s">
        <v>1230</v>
      </c>
      <c r="C1341" s="10" t="s">
        <v>1231</v>
      </c>
      <c r="D1341" s="10" t="s">
        <v>1346</v>
      </c>
      <c r="E1341" s="10" t="str">
        <f>"644020240512201805170786"</f>
        <v>644020240512201805170786</v>
      </c>
      <c r="F1341" s="9"/>
    </row>
    <row r="1342" s="2" customFormat="1" ht="30" customHeight="1" spans="1:6">
      <c r="A1342" s="9">
        <v>1339</v>
      </c>
      <c r="B1342" s="10" t="s">
        <v>1230</v>
      </c>
      <c r="C1342" s="10" t="s">
        <v>1231</v>
      </c>
      <c r="D1342" s="10" t="s">
        <v>1347</v>
      </c>
      <c r="E1342" s="10" t="str">
        <f>"644020240512145317169625"</f>
        <v>644020240512145317169625</v>
      </c>
      <c r="F1342" s="9"/>
    </row>
    <row r="1343" s="2" customFormat="1" ht="30" customHeight="1" spans="1:6">
      <c r="A1343" s="9">
        <v>1340</v>
      </c>
      <c r="B1343" s="10" t="s">
        <v>1230</v>
      </c>
      <c r="C1343" s="10" t="s">
        <v>1231</v>
      </c>
      <c r="D1343" s="10" t="s">
        <v>1348</v>
      </c>
      <c r="E1343" s="10" t="str">
        <f>"644020240512201847170791"</f>
        <v>644020240512201847170791</v>
      </c>
      <c r="F1343" s="9"/>
    </row>
    <row r="1344" s="2" customFormat="1" ht="30" customHeight="1" spans="1:6">
      <c r="A1344" s="9">
        <v>1341</v>
      </c>
      <c r="B1344" s="10" t="s">
        <v>1230</v>
      </c>
      <c r="C1344" s="10" t="s">
        <v>1231</v>
      </c>
      <c r="D1344" s="10" t="s">
        <v>1349</v>
      </c>
      <c r="E1344" s="10" t="str">
        <f>"644020240512190755170530"</f>
        <v>644020240512190755170530</v>
      </c>
      <c r="F1344" s="9"/>
    </row>
    <row r="1345" s="2" customFormat="1" ht="30" customHeight="1" spans="1:6">
      <c r="A1345" s="9">
        <v>1342</v>
      </c>
      <c r="B1345" s="10" t="s">
        <v>1230</v>
      </c>
      <c r="C1345" s="10" t="s">
        <v>1231</v>
      </c>
      <c r="D1345" s="10" t="s">
        <v>1350</v>
      </c>
      <c r="E1345" s="10" t="str">
        <f>"644020240512204614170917"</f>
        <v>644020240512204614170917</v>
      </c>
      <c r="F1345" s="9"/>
    </row>
    <row r="1346" s="2" customFormat="1" ht="30" customHeight="1" spans="1:6">
      <c r="A1346" s="9">
        <v>1343</v>
      </c>
      <c r="B1346" s="10" t="s">
        <v>1230</v>
      </c>
      <c r="C1346" s="10" t="s">
        <v>1231</v>
      </c>
      <c r="D1346" s="10" t="s">
        <v>1351</v>
      </c>
      <c r="E1346" s="10" t="str">
        <f>"644020240512200401170725"</f>
        <v>644020240512200401170725</v>
      </c>
      <c r="F1346" s="9"/>
    </row>
    <row r="1347" s="2" customFormat="1" ht="30" customHeight="1" spans="1:6">
      <c r="A1347" s="9">
        <v>1344</v>
      </c>
      <c r="B1347" s="10" t="s">
        <v>1230</v>
      </c>
      <c r="C1347" s="10" t="s">
        <v>1231</v>
      </c>
      <c r="D1347" s="10" t="s">
        <v>1352</v>
      </c>
      <c r="E1347" s="10" t="str">
        <f>"644020240512184847170474"</f>
        <v>644020240512184847170474</v>
      </c>
      <c r="F1347" s="9"/>
    </row>
    <row r="1348" s="2" customFormat="1" ht="30" customHeight="1" spans="1:6">
      <c r="A1348" s="9">
        <v>1345</v>
      </c>
      <c r="B1348" s="10" t="s">
        <v>1230</v>
      </c>
      <c r="C1348" s="10" t="s">
        <v>1231</v>
      </c>
      <c r="D1348" s="10" t="s">
        <v>1353</v>
      </c>
      <c r="E1348" s="10" t="str">
        <f>"644020240512202824170830"</f>
        <v>644020240512202824170830</v>
      </c>
      <c r="F1348" s="9"/>
    </row>
    <row r="1349" s="2" customFormat="1" ht="30" customHeight="1" spans="1:6">
      <c r="A1349" s="9">
        <v>1346</v>
      </c>
      <c r="B1349" s="10" t="s">
        <v>1230</v>
      </c>
      <c r="C1349" s="10" t="s">
        <v>1231</v>
      </c>
      <c r="D1349" s="10" t="s">
        <v>1354</v>
      </c>
      <c r="E1349" s="10" t="str">
        <f>"644020240512204816170925"</f>
        <v>644020240512204816170925</v>
      </c>
      <c r="F1349" s="9"/>
    </row>
    <row r="1350" s="2" customFormat="1" ht="30" customHeight="1" spans="1:6">
      <c r="A1350" s="9">
        <v>1347</v>
      </c>
      <c r="B1350" s="10" t="s">
        <v>1230</v>
      </c>
      <c r="C1350" s="10" t="s">
        <v>1231</v>
      </c>
      <c r="D1350" s="10" t="s">
        <v>1355</v>
      </c>
      <c r="E1350" s="10" t="str">
        <f>"644020240512122007169086"</f>
        <v>644020240512122007169086</v>
      </c>
      <c r="F1350" s="9"/>
    </row>
    <row r="1351" s="2" customFormat="1" ht="30" customHeight="1" spans="1:6">
      <c r="A1351" s="9">
        <v>1348</v>
      </c>
      <c r="B1351" s="10" t="s">
        <v>1230</v>
      </c>
      <c r="C1351" s="10" t="s">
        <v>1231</v>
      </c>
      <c r="D1351" s="10" t="s">
        <v>1356</v>
      </c>
      <c r="E1351" s="10" t="str">
        <f>"644020240512205630170968"</f>
        <v>644020240512205630170968</v>
      </c>
      <c r="F1351" s="9"/>
    </row>
    <row r="1352" s="2" customFormat="1" ht="30" customHeight="1" spans="1:6">
      <c r="A1352" s="9">
        <v>1349</v>
      </c>
      <c r="B1352" s="10" t="s">
        <v>1230</v>
      </c>
      <c r="C1352" s="10" t="s">
        <v>1231</v>
      </c>
      <c r="D1352" s="10" t="s">
        <v>1357</v>
      </c>
      <c r="E1352" s="10" t="str">
        <f>"644020240512133939169398"</f>
        <v>644020240512133939169398</v>
      </c>
      <c r="F1352" s="9"/>
    </row>
    <row r="1353" s="2" customFormat="1" ht="30" customHeight="1" spans="1:6">
      <c r="A1353" s="9">
        <v>1350</v>
      </c>
      <c r="B1353" s="10" t="s">
        <v>1230</v>
      </c>
      <c r="C1353" s="10" t="s">
        <v>1231</v>
      </c>
      <c r="D1353" s="10" t="s">
        <v>1358</v>
      </c>
      <c r="E1353" s="10" t="str">
        <f>"644020240512132530169340"</f>
        <v>644020240512132530169340</v>
      </c>
      <c r="F1353" s="9"/>
    </row>
    <row r="1354" s="2" customFormat="1" ht="30" customHeight="1" spans="1:6">
      <c r="A1354" s="9">
        <v>1351</v>
      </c>
      <c r="B1354" s="10" t="s">
        <v>1230</v>
      </c>
      <c r="C1354" s="10" t="s">
        <v>1231</v>
      </c>
      <c r="D1354" s="10" t="s">
        <v>1359</v>
      </c>
      <c r="E1354" s="10" t="str">
        <f>"644020240512175803170303"</f>
        <v>644020240512175803170303</v>
      </c>
      <c r="F1354" s="9"/>
    </row>
    <row r="1355" s="2" customFormat="1" ht="30" customHeight="1" spans="1:6">
      <c r="A1355" s="9">
        <v>1352</v>
      </c>
      <c r="B1355" s="10" t="s">
        <v>1230</v>
      </c>
      <c r="C1355" s="10" t="s">
        <v>1231</v>
      </c>
      <c r="D1355" s="10" t="s">
        <v>1360</v>
      </c>
      <c r="E1355" s="10" t="str">
        <f>"644020240512202813170829"</f>
        <v>644020240512202813170829</v>
      </c>
      <c r="F1355" s="9"/>
    </row>
    <row r="1356" s="2" customFormat="1" ht="30" customHeight="1" spans="1:6">
      <c r="A1356" s="9">
        <v>1353</v>
      </c>
      <c r="B1356" s="10" t="s">
        <v>1230</v>
      </c>
      <c r="C1356" s="10" t="s">
        <v>1231</v>
      </c>
      <c r="D1356" s="10" t="s">
        <v>1361</v>
      </c>
      <c r="E1356" s="10" t="str">
        <f>"644020240512211812171084"</f>
        <v>644020240512211812171084</v>
      </c>
      <c r="F1356" s="9"/>
    </row>
    <row r="1357" s="2" customFormat="1" ht="30" customHeight="1" spans="1:6">
      <c r="A1357" s="9">
        <v>1354</v>
      </c>
      <c r="B1357" s="10" t="s">
        <v>1230</v>
      </c>
      <c r="C1357" s="10" t="s">
        <v>1231</v>
      </c>
      <c r="D1357" s="10" t="s">
        <v>1362</v>
      </c>
      <c r="E1357" s="10" t="str">
        <f>"644020240512211254171057"</f>
        <v>644020240512211254171057</v>
      </c>
      <c r="F1357" s="9"/>
    </row>
    <row r="1358" s="2" customFormat="1" ht="30" customHeight="1" spans="1:6">
      <c r="A1358" s="9">
        <v>1355</v>
      </c>
      <c r="B1358" s="10" t="s">
        <v>1230</v>
      </c>
      <c r="C1358" s="10" t="s">
        <v>1231</v>
      </c>
      <c r="D1358" s="10" t="s">
        <v>1363</v>
      </c>
      <c r="E1358" s="10" t="str">
        <f>"644020240512205726170976"</f>
        <v>644020240512205726170976</v>
      </c>
      <c r="F1358" s="9"/>
    </row>
    <row r="1359" s="2" customFormat="1" ht="30" customHeight="1" spans="1:6">
      <c r="A1359" s="9">
        <v>1356</v>
      </c>
      <c r="B1359" s="10" t="s">
        <v>1230</v>
      </c>
      <c r="C1359" s="10" t="s">
        <v>1231</v>
      </c>
      <c r="D1359" s="10" t="s">
        <v>1364</v>
      </c>
      <c r="E1359" s="10" t="str">
        <f>"644020240512204651170920"</f>
        <v>644020240512204651170920</v>
      </c>
      <c r="F1359" s="9"/>
    </row>
    <row r="1360" s="2" customFormat="1" ht="30" customHeight="1" spans="1:6">
      <c r="A1360" s="9">
        <v>1357</v>
      </c>
      <c r="B1360" s="10" t="s">
        <v>1230</v>
      </c>
      <c r="C1360" s="10" t="s">
        <v>1231</v>
      </c>
      <c r="D1360" s="10" t="s">
        <v>1365</v>
      </c>
      <c r="E1360" s="10" t="str">
        <f>"644020240512210332171007"</f>
        <v>644020240512210332171007</v>
      </c>
      <c r="F1360" s="9"/>
    </row>
    <row r="1361" s="2" customFormat="1" ht="30" customHeight="1" spans="1:6">
      <c r="A1361" s="9">
        <v>1358</v>
      </c>
      <c r="B1361" s="10" t="s">
        <v>1230</v>
      </c>
      <c r="C1361" s="10" t="s">
        <v>1231</v>
      </c>
      <c r="D1361" s="10" t="s">
        <v>1366</v>
      </c>
      <c r="E1361" s="10" t="str">
        <f>"644020240512211707171081"</f>
        <v>644020240512211707171081</v>
      </c>
      <c r="F1361" s="9"/>
    </row>
    <row r="1362" s="2" customFormat="1" ht="30" customHeight="1" spans="1:6">
      <c r="A1362" s="9">
        <v>1359</v>
      </c>
      <c r="B1362" s="10" t="s">
        <v>1230</v>
      </c>
      <c r="C1362" s="10" t="s">
        <v>1231</v>
      </c>
      <c r="D1362" s="10" t="s">
        <v>1367</v>
      </c>
      <c r="E1362" s="10" t="str">
        <f>"644020240512212620171136"</f>
        <v>644020240512212620171136</v>
      </c>
      <c r="F1362" s="9"/>
    </row>
    <row r="1363" s="2" customFormat="1" ht="30" customHeight="1" spans="1:6">
      <c r="A1363" s="9">
        <v>1360</v>
      </c>
      <c r="B1363" s="10" t="s">
        <v>1230</v>
      </c>
      <c r="C1363" s="10" t="s">
        <v>1231</v>
      </c>
      <c r="D1363" s="10" t="s">
        <v>1368</v>
      </c>
      <c r="E1363" s="10" t="str">
        <f>"644020240512205402170959"</f>
        <v>644020240512205402170959</v>
      </c>
      <c r="F1363" s="9"/>
    </row>
    <row r="1364" s="2" customFormat="1" ht="30" customHeight="1" spans="1:6">
      <c r="A1364" s="9">
        <v>1361</v>
      </c>
      <c r="B1364" s="10" t="s">
        <v>1230</v>
      </c>
      <c r="C1364" s="10" t="s">
        <v>1231</v>
      </c>
      <c r="D1364" s="10" t="s">
        <v>1369</v>
      </c>
      <c r="E1364" s="10" t="str">
        <f>"644020240512214859171261"</f>
        <v>644020240512214859171261</v>
      </c>
      <c r="F1364" s="9"/>
    </row>
    <row r="1365" s="2" customFormat="1" ht="30" customHeight="1" spans="1:6">
      <c r="A1365" s="9">
        <v>1362</v>
      </c>
      <c r="B1365" s="10" t="s">
        <v>1230</v>
      </c>
      <c r="C1365" s="10" t="s">
        <v>1231</v>
      </c>
      <c r="D1365" s="10" t="s">
        <v>1370</v>
      </c>
      <c r="E1365" s="10" t="str">
        <f>"644020240512122816169113"</f>
        <v>644020240512122816169113</v>
      </c>
      <c r="F1365" s="9"/>
    </row>
    <row r="1366" s="2" customFormat="1" ht="30" customHeight="1" spans="1:6">
      <c r="A1366" s="9">
        <v>1363</v>
      </c>
      <c r="B1366" s="10" t="s">
        <v>1230</v>
      </c>
      <c r="C1366" s="10" t="s">
        <v>1231</v>
      </c>
      <c r="D1366" s="10" t="s">
        <v>1371</v>
      </c>
      <c r="E1366" s="10" t="str">
        <f>"644020240512164830170071"</f>
        <v>644020240512164830170071</v>
      </c>
      <c r="F1366" s="9"/>
    </row>
    <row r="1367" s="2" customFormat="1" ht="30" customHeight="1" spans="1:6">
      <c r="A1367" s="9">
        <v>1364</v>
      </c>
      <c r="B1367" s="10" t="s">
        <v>1230</v>
      </c>
      <c r="C1367" s="10" t="s">
        <v>1231</v>
      </c>
      <c r="D1367" s="10" t="s">
        <v>1372</v>
      </c>
      <c r="E1367" s="10" t="str">
        <f>"644020240512210819171028"</f>
        <v>644020240512210819171028</v>
      </c>
      <c r="F1367" s="9"/>
    </row>
    <row r="1368" s="2" customFormat="1" ht="30" customHeight="1" spans="1:6">
      <c r="A1368" s="9">
        <v>1365</v>
      </c>
      <c r="B1368" s="10" t="s">
        <v>1230</v>
      </c>
      <c r="C1368" s="10" t="s">
        <v>1231</v>
      </c>
      <c r="D1368" s="10" t="s">
        <v>1066</v>
      </c>
      <c r="E1368" s="10" t="str">
        <f>"644020240512220616171360"</f>
        <v>644020240512220616171360</v>
      </c>
      <c r="F1368" s="9"/>
    </row>
    <row r="1369" s="2" customFormat="1" ht="30" customHeight="1" spans="1:6">
      <c r="A1369" s="9">
        <v>1366</v>
      </c>
      <c r="B1369" s="10" t="s">
        <v>1230</v>
      </c>
      <c r="C1369" s="10" t="s">
        <v>1231</v>
      </c>
      <c r="D1369" s="10" t="s">
        <v>1373</v>
      </c>
      <c r="E1369" s="10" t="str">
        <f>"644020240512222316171456"</f>
        <v>644020240512222316171456</v>
      </c>
      <c r="F1369" s="9"/>
    </row>
    <row r="1370" s="2" customFormat="1" ht="30" customHeight="1" spans="1:6">
      <c r="A1370" s="9">
        <v>1367</v>
      </c>
      <c r="B1370" s="10" t="s">
        <v>1230</v>
      </c>
      <c r="C1370" s="10" t="s">
        <v>1231</v>
      </c>
      <c r="D1370" s="10" t="s">
        <v>1374</v>
      </c>
      <c r="E1370" s="10" t="str">
        <f>"644020240512222158171444"</f>
        <v>644020240512222158171444</v>
      </c>
      <c r="F1370" s="9"/>
    </row>
    <row r="1371" s="2" customFormat="1" ht="30" customHeight="1" spans="1:6">
      <c r="A1371" s="9">
        <v>1368</v>
      </c>
      <c r="B1371" s="10" t="s">
        <v>1230</v>
      </c>
      <c r="C1371" s="10" t="s">
        <v>1231</v>
      </c>
      <c r="D1371" s="10" t="s">
        <v>1375</v>
      </c>
      <c r="E1371" s="10" t="str">
        <f>"644020240512174143170254"</f>
        <v>644020240512174143170254</v>
      </c>
      <c r="F1371" s="9"/>
    </row>
    <row r="1372" s="2" customFormat="1" ht="30" customHeight="1" spans="1:6">
      <c r="A1372" s="9">
        <v>1369</v>
      </c>
      <c r="B1372" s="10" t="s">
        <v>1230</v>
      </c>
      <c r="C1372" s="10" t="s">
        <v>1231</v>
      </c>
      <c r="D1372" s="10" t="s">
        <v>1376</v>
      </c>
      <c r="E1372" s="10" t="str">
        <f>"644020240512223112171503"</f>
        <v>644020240512223112171503</v>
      </c>
      <c r="F1372" s="9"/>
    </row>
    <row r="1373" s="2" customFormat="1" ht="30" customHeight="1" spans="1:6">
      <c r="A1373" s="9">
        <v>1370</v>
      </c>
      <c r="B1373" s="10" t="s">
        <v>1230</v>
      </c>
      <c r="C1373" s="10" t="s">
        <v>1231</v>
      </c>
      <c r="D1373" s="10" t="s">
        <v>1377</v>
      </c>
      <c r="E1373" s="10" t="str">
        <f>"644020240512205939170989"</f>
        <v>644020240512205939170989</v>
      </c>
      <c r="F1373" s="9"/>
    </row>
    <row r="1374" s="2" customFormat="1" ht="30" customHeight="1" spans="1:6">
      <c r="A1374" s="9">
        <v>1371</v>
      </c>
      <c r="B1374" s="10" t="s">
        <v>1230</v>
      </c>
      <c r="C1374" s="10" t="s">
        <v>1231</v>
      </c>
      <c r="D1374" s="10" t="s">
        <v>1378</v>
      </c>
      <c r="E1374" s="10" t="str">
        <f>"644020240512215829171318"</f>
        <v>644020240512215829171318</v>
      </c>
      <c r="F1374" s="9"/>
    </row>
    <row r="1375" s="2" customFormat="1" ht="30" customHeight="1" spans="1:6">
      <c r="A1375" s="9">
        <v>1372</v>
      </c>
      <c r="B1375" s="10" t="s">
        <v>1230</v>
      </c>
      <c r="C1375" s="10" t="s">
        <v>1231</v>
      </c>
      <c r="D1375" s="10" t="s">
        <v>1379</v>
      </c>
      <c r="E1375" s="10" t="str">
        <f>"644020240512224008171551"</f>
        <v>644020240512224008171551</v>
      </c>
      <c r="F1375" s="9"/>
    </row>
    <row r="1376" s="2" customFormat="1" ht="30" customHeight="1" spans="1:6">
      <c r="A1376" s="9">
        <v>1373</v>
      </c>
      <c r="B1376" s="10" t="s">
        <v>1230</v>
      </c>
      <c r="C1376" s="10" t="s">
        <v>1231</v>
      </c>
      <c r="D1376" s="10" t="s">
        <v>1380</v>
      </c>
      <c r="E1376" s="10" t="str">
        <f>"644020240512223543171526"</f>
        <v>644020240512223543171526</v>
      </c>
      <c r="F1376" s="9"/>
    </row>
    <row r="1377" s="2" customFormat="1" ht="30" customHeight="1" spans="1:6">
      <c r="A1377" s="9">
        <v>1374</v>
      </c>
      <c r="B1377" s="10" t="s">
        <v>1230</v>
      </c>
      <c r="C1377" s="10" t="s">
        <v>1231</v>
      </c>
      <c r="D1377" s="10" t="s">
        <v>1381</v>
      </c>
      <c r="E1377" s="10" t="str">
        <f>"644020240512173552170237"</f>
        <v>644020240512173552170237</v>
      </c>
      <c r="F1377" s="9"/>
    </row>
    <row r="1378" s="2" customFormat="1" ht="30" customHeight="1" spans="1:6">
      <c r="A1378" s="9">
        <v>1375</v>
      </c>
      <c r="B1378" s="10" t="s">
        <v>1230</v>
      </c>
      <c r="C1378" s="10" t="s">
        <v>1231</v>
      </c>
      <c r="D1378" s="10" t="s">
        <v>1382</v>
      </c>
      <c r="E1378" s="10" t="str">
        <f>"644020240512101837168490"</f>
        <v>644020240512101837168490</v>
      </c>
      <c r="F1378" s="9"/>
    </row>
    <row r="1379" s="2" customFormat="1" ht="30" customHeight="1" spans="1:6">
      <c r="A1379" s="9">
        <v>1376</v>
      </c>
      <c r="B1379" s="10" t="s">
        <v>1230</v>
      </c>
      <c r="C1379" s="10" t="s">
        <v>1231</v>
      </c>
      <c r="D1379" s="10" t="s">
        <v>1383</v>
      </c>
      <c r="E1379" s="10" t="str">
        <f>"644020240512225718171654"</f>
        <v>644020240512225718171654</v>
      </c>
      <c r="F1379" s="9"/>
    </row>
    <row r="1380" s="2" customFormat="1" ht="30" customHeight="1" spans="1:6">
      <c r="A1380" s="9">
        <v>1377</v>
      </c>
      <c r="B1380" s="10" t="s">
        <v>1230</v>
      </c>
      <c r="C1380" s="10" t="s">
        <v>1231</v>
      </c>
      <c r="D1380" s="10" t="s">
        <v>1384</v>
      </c>
      <c r="E1380" s="10" t="str">
        <f>"644020240512225618171651"</f>
        <v>644020240512225618171651</v>
      </c>
      <c r="F1380" s="9"/>
    </row>
    <row r="1381" s="2" customFormat="1" ht="30" customHeight="1" spans="1:6">
      <c r="A1381" s="9">
        <v>1378</v>
      </c>
      <c r="B1381" s="10" t="s">
        <v>1230</v>
      </c>
      <c r="C1381" s="10" t="s">
        <v>1231</v>
      </c>
      <c r="D1381" s="10" t="s">
        <v>1385</v>
      </c>
      <c r="E1381" s="10" t="str">
        <f>"644020240512225042171615"</f>
        <v>644020240512225042171615</v>
      </c>
      <c r="F1381" s="9"/>
    </row>
    <row r="1382" s="2" customFormat="1" ht="30" customHeight="1" spans="1:6">
      <c r="A1382" s="9">
        <v>1379</v>
      </c>
      <c r="B1382" s="10" t="s">
        <v>1230</v>
      </c>
      <c r="C1382" s="10" t="s">
        <v>1231</v>
      </c>
      <c r="D1382" s="10" t="s">
        <v>1386</v>
      </c>
      <c r="E1382" s="10" t="str">
        <f>"644020240512225539171646"</f>
        <v>644020240512225539171646</v>
      </c>
      <c r="F1382" s="9"/>
    </row>
    <row r="1383" s="2" customFormat="1" ht="30" customHeight="1" spans="1:6">
      <c r="A1383" s="9">
        <v>1380</v>
      </c>
      <c r="B1383" s="10" t="s">
        <v>1230</v>
      </c>
      <c r="C1383" s="10" t="s">
        <v>1231</v>
      </c>
      <c r="D1383" s="10" t="s">
        <v>1387</v>
      </c>
      <c r="E1383" s="10" t="str">
        <f>"644020240512104534168652"</f>
        <v>644020240512104534168652</v>
      </c>
      <c r="F1383" s="9"/>
    </row>
    <row r="1384" s="2" customFormat="1" ht="30" customHeight="1" spans="1:6">
      <c r="A1384" s="9">
        <v>1381</v>
      </c>
      <c r="B1384" s="10" t="s">
        <v>1230</v>
      </c>
      <c r="C1384" s="10" t="s">
        <v>1231</v>
      </c>
      <c r="D1384" s="10" t="s">
        <v>1388</v>
      </c>
      <c r="E1384" s="10" t="str">
        <f>"644020240512162350169977"</f>
        <v>644020240512162350169977</v>
      </c>
      <c r="F1384" s="9"/>
    </row>
    <row r="1385" s="2" customFormat="1" ht="30" customHeight="1" spans="1:6">
      <c r="A1385" s="9">
        <v>1382</v>
      </c>
      <c r="B1385" s="10" t="s">
        <v>1230</v>
      </c>
      <c r="C1385" s="10" t="s">
        <v>1231</v>
      </c>
      <c r="D1385" s="10" t="s">
        <v>1389</v>
      </c>
      <c r="E1385" s="10" t="str">
        <f>"644020240512230436171706"</f>
        <v>644020240512230436171706</v>
      </c>
      <c r="F1385" s="9"/>
    </row>
    <row r="1386" s="2" customFormat="1" ht="30" customHeight="1" spans="1:6">
      <c r="A1386" s="9">
        <v>1383</v>
      </c>
      <c r="B1386" s="10" t="s">
        <v>1230</v>
      </c>
      <c r="C1386" s="10" t="s">
        <v>1231</v>
      </c>
      <c r="D1386" s="10" t="s">
        <v>1390</v>
      </c>
      <c r="E1386" s="10" t="str">
        <f>"644020240512214027171200"</f>
        <v>644020240512214027171200</v>
      </c>
      <c r="F1386" s="9"/>
    </row>
    <row r="1387" s="2" customFormat="1" ht="30" customHeight="1" spans="1:6">
      <c r="A1387" s="9">
        <v>1384</v>
      </c>
      <c r="B1387" s="10" t="s">
        <v>1230</v>
      </c>
      <c r="C1387" s="10" t="s">
        <v>1231</v>
      </c>
      <c r="D1387" s="10" t="s">
        <v>1391</v>
      </c>
      <c r="E1387" s="10" t="str">
        <f>"644020240512111053168778"</f>
        <v>644020240512111053168778</v>
      </c>
      <c r="F1387" s="9"/>
    </row>
    <row r="1388" s="2" customFormat="1" ht="30" customHeight="1" spans="1:6">
      <c r="A1388" s="9">
        <v>1385</v>
      </c>
      <c r="B1388" s="10" t="s">
        <v>1230</v>
      </c>
      <c r="C1388" s="10" t="s">
        <v>1231</v>
      </c>
      <c r="D1388" s="10" t="s">
        <v>1392</v>
      </c>
      <c r="E1388" s="10" t="str">
        <f>"644020240512220720171367"</f>
        <v>644020240512220720171367</v>
      </c>
      <c r="F1388" s="9"/>
    </row>
    <row r="1389" s="2" customFormat="1" ht="30" customHeight="1" spans="1:6">
      <c r="A1389" s="9">
        <v>1386</v>
      </c>
      <c r="B1389" s="10" t="s">
        <v>1230</v>
      </c>
      <c r="C1389" s="10" t="s">
        <v>1231</v>
      </c>
      <c r="D1389" s="10" t="s">
        <v>1393</v>
      </c>
      <c r="E1389" s="10" t="str">
        <f>"644020240513001042171955"</f>
        <v>644020240513001042171955</v>
      </c>
      <c r="F1389" s="9"/>
    </row>
    <row r="1390" s="2" customFormat="1" ht="30" customHeight="1" spans="1:6">
      <c r="A1390" s="9">
        <v>1387</v>
      </c>
      <c r="B1390" s="10" t="s">
        <v>1230</v>
      </c>
      <c r="C1390" s="10" t="s">
        <v>1231</v>
      </c>
      <c r="D1390" s="10" t="s">
        <v>1394</v>
      </c>
      <c r="E1390" s="10" t="str">
        <f>"644020240513000640171943"</f>
        <v>644020240513000640171943</v>
      </c>
      <c r="F1390" s="9"/>
    </row>
    <row r="1391" s="2" customFormat="1" ht="30" customHeight="1" spans="1:6">
      <c r="A1391" s="9">
        <v>1388</v>
      </c>
      <c r="B1391" s="10" t="s">
        <v>1230</v>
      </c>
      <c r="C1391" s="10" t="s">
        <v>1231</v>
      </c>
      <c r="D1391" s="10" t="s">
        <v>1395</v>
      </c>
      <c r="E1391" s="10" t="str">
        <f>"644020240513031555172077"</f>
        <v>644020240513031555172077</v>
      </c>
      <c r="F1391" s="9"/>
    </row>
    <row r="1392" s="2" customFormat="1" ht="30" customHeight="1" spans="1:6">
      <c r="A1392" s="9">
        <v>1389</v>
      </c>
      <c r="B1392" s="10" t="s">
        <v>1230</v>
      </c>
      <c r="C1392" s="10" t="s">
        <v>1231</v>
      </c>
      <c r="D1392" s="10" t="s">
        <v>1396</v>
      </c>
      <c r="E1392" s="10" t="str">
        <f>"644020240513072253172138"</f>
        <v>644020240513072253172138</v>
      </c>
      <c r="F1392" s="9"/>
    </row>
    <row r="1393" s="2" customFormat="1" ht="30" customHeight="1" spans="1:6">
      <c r="A1393" s="9">
        <v>1390</v>
      </c>
      <c r="B1393" s="10" t="s">
        <v>1230</v>
      </c>
      <c r="C1393" s="10" t="s">
        <v>1231</v>
      </c>
      <c r="D1393" s="10" t="s">
        <v>1397</v>
      </c>
      <c r="E1393" s="10" t="str">
        <f>"644020240512091225168160"</f>
        <v>644020240512091225168160</v>
      </c>
      <c r="F1393" s="9"/>
    </row>
    <row r="1394" s="2" customFormat="1" ht="30" customHeight="1" spans="1:6">
      <c r="A1394" s="9">
        <v>1391</v>
      </c>
      <c r="B1394" s="10" t="s">
        <v>1230</v>
      </c>
      <c r="C1394" s="10" t="s">
        <v>1231</v>
      </c>
      <c r="D1394" s="10" t="s">
        <v>1398</v>
      </c>
      <c r="E1394" s="10" t="str">
        <f>"644020240512144704169599"</f>
        <v>644020240512144704169599</v>
      </c>
      <c r="F1394" s="9"/>
    </row>
    <row r="1395" s="2" customFormat="1" ht="30" customHeight="1" spans="1:6">
      <c r="A1395" s="9">
        <v>1392</v>
      </c>
      <c r="B1395" s="10" t="s">
        <v>1230</v>
      </c>
      <c r="C1395" s="10" t="s">
        <v>1231</v>
      </c>
      <c r="D1395" s="10" t="s">
        <v>1399</v>
      </c>
      <c r="E1395" s="10" t="str">
        <f>"644020240513083129172302"</f>
        <v>644020240513083129172302</v>
      </c>
      <c r="F1395" s="9"/>
    </row>
    <row r="1396" s="2" customFormat="1" ht="30" customHeight="1" spans="1:6">
      <c r="A1396" s="9">
        <v>1393</v>
      </c>
      <c r="B1396" s="10" t="s">
        <v>1230</v>
      </c>
      <c r="C1396" s="10" t="s">
        <v>1231</v>
      </c>
      <c r="D1396" s="10" t="s">
        <v>1400</v>
      </c>
      <c r="E1396" s="10" t="str">
        <f>"644020240512175454170293"</f>
        <v>644020240512175454170293</v>
      </c>
      <c r="F1396" s="9"/>
    </row>
    <row r="1397" s="2" customFormat="1" ht="30" customHeight="1" spans="1:6">
      <c r="A1397" s="9">
        <v>1394</v>
      </c>
      <c r="B1397" s="10" t="s">
        <v>1230</v>
      </c>
      <c r="C1397" s="10" t="s">
        <v>1231</v>
      </c>
      <c r="D1397" s="10" t="s">
        <v>1401</v>
      </c>
      <c r="E1397" s="10" t="str">
        <f>"644020240513082325172266"</f>
        <v>644020240513082325172266</v>
      </c>
      <c r="F1397" s="9"/>
    </row>
    <row r="1398" s="2" customFormat="1" ht="30" customHeight="1" spans="1:6">
      <c r="A1398" s="9">
        <v>1395</v>
      </c>
      <c r="B1398" s="10" t="s">
        <v>1230</v>
      </c>
      <c r="C1398" s="10" t="s">
        <v>1231</v>
      </c>
      <c r="D1398" s="10" t="s">
        <v>1402</v>
      </c>
      <c r="E1398" s="10" t="str">
        <f>"644020240513085456172440"</f>
        <v>644020240513085456172440</v>
      </c>
      <c r="F1398" s="9"/>
    </row>
    <row r="1399" s="2" customFormat="1" ht="30" customHeight="1" spans="1:6">
      <c r="A1399" s="9">
        <v>1396</v>
      </c>
      <c r="B1399" s="10" t="s">
        <v>1230</v>
      </c>
      <c r="C1399" s="10" t="s">
        <v>1231</v>
      </c>
      <c r="D1399" s="10" t="s">
        <v>1403</v>
      </c>
      <c r="E1399" s="10" t="str">
        <f>"644020240513084403172380"</f>
        <v>644020240513084403172380</v>
      </c>
      <c r="F1399" s="9"/>
    </row>
    <row r="1400" s="2" customFormat="1" ht="30" customHeight="1" spans="1:6">
      <c r="A1400" s="9">
        <v>1397</v>
      </c>
      <c r="B1400" s="10" t="s">
        <v>1230</v>
      </c>
      <c r="C1400" s="10" t="s">
        <v>1231</v>
      </c>
      <c r="D1400" s="10" t="s">
        <v>1404</v>
      </c>
      <c r="E1400" s="10" t="str">
        <f>"644020240513083206172306"</f>
        <v>644020240513083206172306</v>
      </c>
      <c r="F1400" s="9"/>
    </row>
    <row r="1401" s="2" customFormat="1" ht="30" customHeight="1" spans="1:6">
      <c r="A1401" s="9">
        <v>1398</v>
      </c>
      <c r="B1401" s="10" t="s">
        <v>1230</v>
      </c>
      <c r="C1401" s="10" t="s">
        <v>1231</v>
      </c>
      <c r="D1401" s="10" t="s">
        <v>1405</v>
      </c>
      <c r="E1401" s="10" t="str">
        <f>"644020240513084134172362"</f>
        <v>644020240513084134172362</v>
      </c>
      <c r="F1401" s="9"/>
    </row>
    <row r="1402" s="2" customFormat="1" ht="30" customHeight="1" spans="1:6">
      <c r="A1402" s="9">
        <v>1399</v>
      </c>
      <c r="B1402" s="10" t="s">
        <v>1230</v>
      </c>
      <c r="C1402" s="10" t="s">
        <v>1231</v>
      </c>
      <c r="D1402" s="10" t="s">
        <v>1406</v>
      </c>
      <c r="E1402" s="10" t="str">
        <f>"644020240513085839172465"</f>
        <v>644020240513085839172465</v>
      </c>
      <c r="F1402" s="9"/>
    </row>
    <row r="1403" s="2" customFormat="1" ht="30" customHeight="1" spans="1:6">
      <c r="A1403" s="9">
        <v>1400</v>
      </c>
      <c r="B1403" s="10" t="s">
        <v>1230</v>
      </c>
      <c r="C1403" s="10" t="s">
        <v>1231</v>
      </c>
      <c r="D1403" s="10" t="s">
        <v>1407</v>
      </c>
      <c r="E1403" s="10" t="str">
        <f>"644020240513082034172253"</f>
        <v>644020240513082034172253</v>
      </c>
      <c r="F1403" s="9"/>
    </row>
    <row r="1404" s="2" customFormat="1" ht="30" customHeight="1" spans="1:6">
      <c r="A1404" s="9">
        <v>1401</v>
      </c>
      <c r="B1404" s="10" t="s">
        <v>1230</v>
      </c>
      <c r="C1404" s="10" t="s">
        <v>1231</v>
      </c>
      <c r="D1404" s="10" t="s">
        <v>1408</v>
      </c>
      <c r="E1404" s="10" t="str">
        <f>"644020240512161153169923"</f>
        <v>644020240512161153169923</v>
      </c>
      <c r="F1404" s="9"/>
    </row>
    <row r="1405" s="2" customFormat="1" ht="30" customHeight="1" spans="1:6">
      <c r="A1405" s="9">
        <v>1402</v>
      </c>
      <c r="B1405" s="10" t="s">
        <v>1230</v>
      </c>
      <c r="C1405" s="10" t="s">
        <v>1231</v>
      </c>
      <c r="D1405" s="10" t="s">
        <v>1409</v>
      </c>
      <c r="E1405" s="10" t="str">
        <f>"644020240513090225172514"</f>
        <v>644020240513090225172514</v>
      </c>
      <c r="F1405" s="9"/>
    </row>
    <row r="1406" s="2" customFormat="1" ht="30" customHeight="1" spans="1:6">
      <c r="A1406" s="9">
        <v>1403</v>
      </c>
      <c r="B1406" s="10" t="s">
        <v>1230</v>
      </c>
      <c r="C1406" s="10" t="s">
        <v>1231</v>
      </c>
      <c r="D1406" s="10" t="s">
        <v>1410</v>
      </c>
      <c r="E1406" s="10" t="str">
        <f>"644020240513081520172230"</f>
        <v>644020240513081520172230</v>
      </c>
      <c r="F1406" s="9"/>
    </row>
    <row r="1407" s="2" customFormat="1" ht="30" customHeight="1" spans="1:6">
      <c r="A1407" s="9">
        <v>1404</v>
      </c>
      <c r="B1407" s="10" t="s">
        <v>1230</v>
      </c>
      <c r="C1407" s="10" t="s">
        <v>1231</v>
      </c>
      <c r="D1407" s="10" t="s">
        <v>1411</v>
      </c>
      <c r="E1407" s="10" t="str">
        <f>"644020240513083520172323"</f>
        <v>644020240513083520172323</v>
      </c>
      <c r="F1407" s="9"/>
    </row>
    <row r="1408" s="2" customFormat="1" ht="30" customHeight="1" spans="1:6">
      <c r="A1408" s="9">
        <v>1405</v>
      </c>
      <c r="B1408" s="10" t="s">
        <v>1230</v>
      </c>
      <c r="C1408" s="10" t="s">
        <v>1231</v>
      </c>
      <c r="D1408" s="10" t="s">
        <v>1412</v>
      </c>
      <c r="E1408" s="10" t="str">
        <f>"644020240513090950172592"</f>
        <v>644020240513090950172592</v>
      </c>
      <c r="F1408" s="9"/>
    </row>
    <row r="1409" s="2" customFormat="1" ht="30" customHeight="1" spans="1:6">
      <c r="A1409" s="9">
        <v>1406</v>
      </c>
      <c r="B1409" s="10" t="s">
        <v>1230</v>
      </c>
      <c r="C1409" s="10" t="s">
        <v>1231</v>
      </c>
      <c r="D1409" s="10" t="s">
        <v>1413</v>
      </c>
      <c r="E1409" s="10" t="str">
        <f>"644020240512103645168603"</f>
        <v>644020240512103645168603</v>
      </c>
      <c r="F1409" s="9"/>
    </row>
    <row r="1410" s="2" customFormat="1" ht="30" customHeight="1" spans="1:6">
      <c r="A1410" s="9">
        <v>1407</v>
      </c>
      <c r="B1410" s="10" t="s">
        <v>1230</v>
      </c>
      <c r="C1410" s="10" t="s">
        <v>1231</v>
      </c>
      <c r="D1410" s="10" t="s">
        <v>716</v>
      </c>
      <c r="E1410" s="10" t="str">
        <f>"644020240513084459172386"</f>
        <v>644020240513084459172386</v>
      </c>
      <c r="F1410" s="9"/>
    </row>
    <row r="1411" s="2" customFormat="1" ht="30" customHeight="1" spans="1:6">
      <c r="A1411" s="9">
        <v>1408</v>
      </c>
      <c r="B1411" s="10" t="s">
        <v>1230</v>
      </c>
      <c r="C1411" s="10" t="s">
        <v>1231</v>
      </c>
      <c r="D1411" s="10" t="s">
        <v>1414</v>
      </c>
      <c r="E1411" s="10" t="str">
        <f>"644020240513090911172587"</f>
        <v>644020240513090911172587</v>
      </c>
      <c r="F1411" s="9"/>
    </row>
    <row r="1412" s="2" customFormat="1" ht="30" customHeight="1" spans="1:6">
      <c r="A1412" s="9">
        <v>1409</v>
      </c>
      <c r="B1412" s="10" t="s">
        <v>1230</v>
      </c>
      <c r="C1412" s="10" t="s">
        <v>1231</v>
      </c>
      <c r="D1412" s="10" t="s">
        <v>1415</v>
      </c>
      <c r="E1412" s="10" t="str">
        <f>"644020240512151433169703"</f>
        <v>644020240512151433169703</v>
      </c>
      <c r="F1412" s="9"/>
    </row>
    <row r="1413" s="2" customFormat="1" ht="30" customHeight="1" spans="1:6">
      <c r="A1413" s="9">
        <v>1410</v>
      </c>
      <c r="B1413" s="10" t="s">
        <v>1230</v>
      </c>
      <c r="C1413" s="10" t="s">
        <v>1231</v>
      </c>
      <c r="D1413" s="10" t="s">
        <v>1416</v>
      </c>
      <c r="E1413" s="10" t="str">
        <f>"644020240513091325172628"</f>
        <v>644020240513091325172628</v>
      </c>
      <c r="F1413" s="9"/>
    </row>
    <row r="1414" s="2" customFormat="1" ht="30" customHeight="1" spans="1:6">
      <c r="A1414" s="9">
        <v>1411</v>
      </c>
      <c r="B1414" s="10" t="s">
        <v>1230</v>
      </c>
      <c r="C1414" s="10" t="s">
        <v>1231</v>
      </c>
      <c r="D1414" s="10" t="s">
        <v>1417</v>
      </c>
      <c r="E1414" s="10" t="str">
        <f>"644020240513090046172493"</f>
        <v>644020240513090046172493</v>
      </c>
      <c r="F1414" s="9"/>
    </row>
    <row r="1415" s="2" customFormat="1" ht="30" customHeight="1" spans="1:6">
      <c r="A1415" s="9">
        <v>1412</v>
      </c>
      <c r="B1415" s="10" t="s">
        <v>1230</v>
      </c>
      <c r="C1415" s="10" t="s">
        <v>1231</v>
      </c>
      <c r="D1415" s="10" t="s">
        <v>1418</v>
      </c>
      <c r="E1415" s="10" t="str">
        <f>"644020240513092744172782"</f>
        <v>644020240513092744172782</v>
      </c>
      <c r="F1415" s="9"/>
    </row>
    <row r="1416" s="2" customFormat="1" ht="30" customHeight="1" spans="1:6">
      <c r="A1416" s="9">
        <v>1413</v>
      </c>
      <c r="B1416" s="10" t="s">
        <v>1230</v>
      </c>
      <c r="C1416" s="10" t="s">
        <v>1231</v>
      </c>
      <c r="D1416" s="10" t="s">
        <v>1419</v>
      </c>
      <c r="E1416" s="10" t="str">
        <f>"644020240513090437172538"</f>
        <v>644020240513090437172538</v>
      </c>
      <c r="F1416" s="9"/>
    </row>
    <row r="1417" s="2" customFormat="1" ht="30" customHeight="1" spans="1:6">
      <c r="A1417" s="9">
        <v>1414</v>
      </c>
      <c r="B1417" s="10" t="s">
        <v>1230</v>
      </c>
      <c r="C1417" s="10" t="s">
        <v>1231</v>
      </c>
      <c r="D1417" s="10" t="s">
        <v>1420</v>
      </c>
      <c r="E1417" s="10" t="str">
        <f>"644020240513091048172603"</f>
        <v>644020240513091048172603</v>
      </c>
      <c r="F1417" s="9"/>
    </row>
    <row r="1418" s="2" customFormat="1" ht="30" customHeight="1" spans="1:6">
      <c r="A1418" s="9">
        <v>1415</v>
      </c>
      <c r="B1418" s="10" t="s">
        <v>1230</v>
      </c>
      <c r="C1418" s="10" t="s">
        <v>1231</v>
      </c>
      <c r="D1418" s="10" t="s">
        <v>1421</v>
      </c>
      <c r="E1418" s="10" t="str">
        <f>"644020240513092911172797"</f>
        <v>644020240513092911172797</v>
      </c>
      <c r="F1418" s="9"/>
    </row>
    <row r="1419" s="2" customFormat="1" ht="30" customHeight="1" spans="1:6">
      <c r="A1419" s="9">
        <v>1416</v>
      </c>
      <c r="B1419" s="10" t="s">
        <v>1230</v>
      </c>
      <c r="C1419" s="10" t="s">
        <v>1231</v>
      </c>
      <c r="D1419" s="10" t="s">
        <v>996</v>
      </c>
      <c r="E1419" s="10" t="str">
        <f>"644020240512095536168356"</f>
        <v>644020240512095536168356</v>
      </c>
      <c r="F1419" s="9"/>
    </row>
    <row r="1420" s="2" customFormat="1" ht="30" customHeight="1" spans="1:6">
      <c r="A1420" s="9">
        <v>1417</v>
      </c>
      <c r="B1420" s="10" t="s">
        <v>1230</v>
      </c>
      <c r="C1420" s="10" t="s">
        <v>1231</v>
      </c>
      <c r="D1420" s="10" t="s">
        <v>1422</v>
      </c>
      <c r="E1420" s="10" t="str">
        <f>"644020240513091958172704"</f>
        <v>644020240513091958172704</v>
      </c>
      <c r="F1420" s="9"/>
    </row>
    <row r="1421" s="2" customFormat="1" ht="30" customHeight="1" spans="1:6">
      <c r="A1421" s="9">
        <v>1418</v>
      </c>
      <c r="B1421" s="10" t="s">
        <v>1230</v>
      </c>
      <c r="C1421" s="10" t="s">
        <v>1231</v>
      </c>
      <c r="D1421" s="10" t="s">
        <v>1423</v>
      </c>
      <c r="E1421" s="10" t="str">
        <f>"644020240513093011172804"</f>
        <v>644020240513093011172804</v>
      </c>
      <c r="F1421" s="9"/>
    </row>
    <row r="1422" s="2" customFormat="1" ht="30" customHeight="1" spans="1:6">
      <c r="A1422" s="9">
        <v>1419</v>
      </c>
      <c r="B1422" s="10" t="s">
        <v>1230</v>
      </c>
      <c r="C1422" s="10" t="s">
        <v>1231</v>
      </c>
      <c r="D1422" s="10" t="s">
        <v>1424</v>
      </c>
      <c r="E1422" s="10" t="str">
        <f>"644020240513092227172733"</f>
        <v>644020240513092227172733</v>
      </c>
      <c r="F1422" s="9"/>
    </row>
    <row r="1423" s="2" customFormat="1" ht="30" customHeight="1" spans="1:6">
      <c r="A1423" s="9">
        <v>1420</v>
      </c>
      <c r="B1423" s="10" t="s">
        <v>1230</v>
      </c>
      <c r="C1423" s="10" t="s">
        <v>1231</v>
      </c>
      <c r="D1423" s="10" t="s">
        <v>1425</v>
      </c>
      <c r="E1423" s="10" t="str">
        <f>"644020240513091849172685"</f>
        <v>644020240513091849172685</v>
      </c>
      <c r="F1423" s="9"/>
    </row>
    <row r="1424" s="2" customFormat="1" ht="30" customHeight="1" spans="1:6">
      <c r="A1424" s="9">
        <v>1421</v>
      </c>
      <c r="B1424" s="10" t="s">
        <v>1230</v>
      </c>
      <c r="C1424" s="10" t="s">
        <v>1231</v>
      </c>
      <c r="D1424" s="10" t="s">
        <v>1426</v>
      </c>
      <c r="E1424" s="10" t="str">
        <f>"644020240513090344172532"</f>
        <v>644020240513090344172532</v>
      </c>
      <c r="F1424" s="9"/>
    </row>
    <row r="1425" s="2" customFormat="1" ht="30" customHeight="1" spans="1:6">
      <c r="A1425" s="9">
        <v>1422</v>
      </c>
      <c r="B1425" s="10" t="s">
        <v>1230</v>
      </c>
      <c r="C1425" s="10" t="s">
        <v>1231</v>
      </c>
      <c r="D1425" s="10" t="s">
        <v>1427</v>
      </c>
      <c r="E1425" s="10" t="str">
        <f>"644020240513094321172943"</f>
        <v>644020240513094321172943</v>
      </c>
      <c r="F1425" s="9"/>
    </row>
    <row r="1426" s="2" customFormat="1" ht="30" customHeight="1" spans="1:6">
      <c r="A1426" s="9">
        <v>1423</v>
      </c>
      <c r="B1426" s="10" t="s">
        <v>1230</v>
      </c>
      <c r="C1426" s="10" t="s">
        <v>1231</v>
      </c>
      <c r="D1426" s="10" t="s">
        <v>1428</v>
      </c>
      <c r="E1426" s="10" t="str">
        <f>"644020240513092711172777"</f>
        <v>644020240513092711172777</v>
      </c>
      <c r="F1426" s="9"/>
    </row>
    <row r="1427" s="2" customFormat="1" ht="30" customHeight="1" spans="1:6">
      <c r="A1427" s="9">
        <v>1424</v>
      </c>
      <c r="B1427" s="10" t="s">
        <v>1230</v>
      </c>
      <c r="C1427" s="10" t="s">
        <v>1231</v>
      </c>
      <c r="D1427" s="10" t="s">
        <v>1429</v>
      </c>
      <c r="E1427" s="10" t="str">
        <f>"644020240513090752172570"</f>
        <v>644020240513090752172570</v>
      </c>
      <c r="F1427" s="9"/>
    </row>
    <row r="1428" s="2" customFormat="1" ht="30" customHeight="1" spans="1:6">
      <c r="A1428" s="9">
        <v>1425</v>
      </c>
      <c r="B1428" s="10" t="s">
        <v>1230</v>
      </c>
      <c r="C1428" s="10" t="s">
        <v>1231</v>
      </c>
      <c r="D1428" s="10" t="s">
        <v>1430</v>
      </c>
      <c r="E1428" s="10" t="str">
        <f>"644020240513093513172859"</f>
        <v>644020240513093513172859</v>
      </c>
      <c r="F1428" s="9"/>
    </row>
    <row r="1429" s="2" customFormat="1" ht="30" customHeight="1" spans="1:6">
      <c r="A1429" s="9">
        <v>1426</v>
      </c>
      <c r="B1429" s="10" t="s">
        <v>1230</v>
      </c>
      <c r="C1429" s="10" t="s">
        <v>1231</v>
      </c>
      <c r="D1429" s="10" t="s">
        <v>1431</v>
      </c>
      <c r="E1429" s="10" t="str">
        <f>"644020240513093232172832"</f>
        <v>644020240513093232172832</v>
      </c>
      <c r="F1429" s="9"/>
    </row>
    <row r="1430" s="2" customFormat="1" ht="30" customHeight="1" spans="1:6">
      <c r="A1430" s="9">
        <v>1427</v>
      </c>
      <c r="B1430" s="10" t="s">
        <v>1230</v>
      </c>
      <c r="C1430" s="10" t="s">
        <v>1231</v>
      </c>
      <c r="D1430" s="10" t="s">
        <v>1432</v>
      </c>
      <c r="E1430" s="10" t="str">
        <f>"644020240513090910172586"</f>
        <v>644020240513090910172586</v>
      </c>
      <c r="F1430" s="9"/>
    </row>
    <row r="1431" s="2" customFormat="1" ht="30" customHeight="1" spans="1:6">
      <c r="A1431" s="9">
        <v>1428</v>
      </c>
      <c r="B1431" s="10" t="s">
        <v>1230</v>
      </c>
      <c r="C1431" s="10" t="s">
        <v>1231</v>
      </c>
      <c r="D1431" s="10" t="s">
        <v>1433</v>
      </c>
      <c r="E1431" s="10" t="str">
        <f>"644020240513093105172809"</f>
        <v>644020240513093105172809</v>
      </c>
      <c r="F1431" s="9"/>
    </row>
    <row r="1432" s="2" customFormat="1" ht="30" customHeight="1" spans="1:6">
      <c r="A1432" s="9">
        <v>1429</v>
      </c>
      <c r="B1432" s="10" t="s">
        <v>1230</v>
      </c>
      <c r="C1432" s="10" t="s">
        <v>1231</v>
      </c>
      <c r="D1432" s="10" t="s">
        <v>1434</v>
      </c>
      <c r="E1432" s="10" t="str">
        <f>"644020240513095005173014"</f>
        <v>644020240513095005173014</v>
      </c>
      <c r="F1432" s="9"/>
    </row>
    <row r="1433" s="2" customFormat="1" ht="30" customHeight="1" spans="1:6">
      <c r="A1433" s="9">
        <v>1430</v>
      </c>
      <c r="B1433" s="10" t="s">
        <v>1230</v>
      </c>
      <c r="C1433" s="10" t="s">
        <v>1231</v>
      </c>
      <c r="D1433" s="10" t="s">
        <v>1435</v>
      </c>
      <c r="E1433" s="10" t="str">
        <f>"644020240513095309173052"</f>
        <v>644020240513095309173052</v>
      </c>
      <c r="F1433" s="9"/>
    </row>
    <row r="1434" s="2" customFormat="1" ht="30" customHeight="1" spans="1:6">
      <c r="A1434" s="9">
        <v>1431</v>
      </c>
      <c r="B1434" s="10" t="s">
        <v>1230</v>
      </c>
      <c r="C1434" s="10" t="s">
        <v>1231</v>
      </c>
      <c r="D1434" s="10" t="s">
        <v>1436</v>
      </c>
      <c r="E1434" s="10" t="str">
        <f>"644020240513100650173183"</f>
        <v>644020240513100650173183</v>
      </c>
      <c r="F1434" s="9"/>
    </row>
    <row r="1435" s="2" customFormat="1" ht="30" customHeight="1" spans="1:6">
      <c r="A1435" s="9">
        <v>1432</v>
      </c>
      <c r="B1435" s="10" t="s">
        <v>1230</v>
      </c>
      <c r="C1435" s="10" t="s">
        <v>1231</v>
      </c>
      <c r="D1435" s="10" t="s">
        <v>1437</v>
      </c>
      <c r="E1435" s="10" t="str">
        <f>"644020240513093519172861"</f>
        <v>644020240513093519172861</v>
      </c>
      <c r="F1435" s="9"/>
    </row>
    <row r="1436" s="2" customFormat="1" ht="30" customHeight="1" spans="1:6">
      <c r="A1436" s="9">
        <v>1433</v>
      </c>
      <c r="B1436" s="10" t="s">
        <v>1230</v>
      </c>
      <c r="C1436" s="10" t="s">
        <v>1231</v>
      </c>
      <c r="D1436" s="10" t="s">
        <v>1438</v>
      </c>
      <c r="E1436" s="10" t="str">
        <f>"644020240513101103173218"</f>
        <v>644020240513101103173218</v>
      </c>
      <c r="F1436" s="9"/>
    </row>
    <row r="1437" s="2" customFormat="1" ht="30" customHeight="1" spans="1:6">
      <c r="A1437" s="9">
        <v>1434</v>
      </c>
      <c r="B1437" s="10" t="s">
        <v>1230</v>
      </c>
      <c r="C1437" s="10" t="s">
        <v>1231</v>
      </c>
      <c r="D1437" s="10" t="s">
        <v>1439</v>
      </c>
      <c r="E1437" s="10" t="str">
        <f>"644020240513100815173194"</f>
        <v>644020240513100815173194</v>
      </c>
      <c r="F1437" s="9"/>
    </row>
    <row r="1438" s="2" customFormat="1" ht="30" customHeight="1" spans="1:6">
      <c r="A1438" s="9">
        <v>1435</v>
      </c>
      <c r="B1438" s="10" t="s">
        <v>1230</v>
      </c>
      <c r="C1438" s="10" t="s">
        <v>1231</v>
      </c>
      <c r="D1438" s="10" t="s">
        <v>1440</v>
      </c>
      <c r="E1438" s="10" t="str">
        <f>"644020240512141720169511"</f>
        <v>644020240512141720169511</v>
      </c>
      <c r="F1438" s="9"/>
    </row>
    <row r="1439" s="2" customFormat="1" ht="30" customHeight="1" spans="1:6">
      <c r="A1439" s="9">
        <v>1436</v>
      </c>
      <c r="B1439" s="10" t="s">
        <v>1230</v>
      </c>
      <c r="C1439" s="10" t="s">
        <v>1231</v>
      </c>
      <c r="D1439" s="10" t="s">
        <v>1441</v>
      </c>
      <c r="E1439" s="10" t="str">
        <f>"644020240513092753172787"</f>
        <v>644020240513092753172787</v>
      </c>
      <c r="F1439" s="9"/>
    </row>
    <row r="1440" s="2" customFormat="1" ht="30" customHeight="1" spans="1:6">
      <c r="A1440" s="9">
        <v>1437</v>
      </c>
      <c r="B1440" s="10" t="s">
        <v>1230</v>
      </c>
      <c r="C1440" s="10" t="s">
        <v>1231</v>
      </c>
      <c r="D1440" s="10" t="s">
        <v>1442</v>
      </c>
      <c r="E1440" s="10" t="str">
        <f>"644020240513101732173283"</f>
        <v>644020240513101732173283</v>
      </c>
      <c r="F1440" s="9"/>
    </row>
    <row r="1441" s="2" customFormat="1" ht="30" customHeight="1" spans="1:6">
      <c r="A1441" s="9">
        <v>1438</v>
      </c>
      <c r="B1441" s="10" t="s">
        <v>1230</v>
      </c>
      <c r="C1441" s="10" t="s">
        <v>1231</v>
      </c>
      <c r="D1441" s="10" t="s">
        <v>1443</v>
      </c>
      <c r="E1441" s="10" t="str">
        <f>"644020240513101255173239"</f>
        <v>644020240513101255173239</v>
      </c>
      <c r="F1441" s="9"/>
    </row>
    <row r="1442" s="2" customFormat="1" ht="30" customHeight="1" spans="1:6">
      <c r="A1442" s="9">
        <v>1439</v>
      </c>
      <c r="B1442" s="10" t="s">
        <v>1230</v>
      </c>
      <c r="C1442" s="10" t="s">
        <v>1231</v>
      </c>
      <c r="D1442" s="10" t="s">
        <v>1444</v>
      </c>
      <c r="E1442" s="10" t="str">
        <f>"644020240513050650172090"</f>
        <v>644020240513050650172090</v>
      </c>
      <c r="F1442" s="9"/>
    </row>
    <row r="1443" s="2" customFormat="1" ht="30" customHeight="1" spans="1:6">
      <c r="A1443" s="9">
        <v>1440</v>
      </c>
      <c r="B1443" s="10" t="s">
        <v>1230</v>
      </c>
      <c r="C1443" s="10" t="s">
        <v>1231</v>
      </c>
      <c r="D1443" s="10" t="s">
        <v>1445</v>
      </c>
      <c r="E1443" s="10" t="str">
        <f>"644020240513092926172799"</f>
        <v>644020240513092926172799</v>
      </c>
      <c r="F1443" s="9"/>
    </row>
    <row r="1444" s="2" customFormat="1" ht="30" customHeight="1" spans="1:6">
      <c r="A1444" s="9">
        <v>1441</v>
      </c>
      <c r="B1444" s="10" t="s">
        <v>1230</v>
      </c>
      <c r="C1444" s="10" t="s">
        <v>1231</v>
      </c>
      <c r="D1444" s="10" t="s">
        <v>1446</v>
      </c>
      <c r="E1444" s="10" t="str">
        <f>"644020240513095019173016"</f>
        <v>644020240513095019173016</v>
      </c>
      <c r="F1444" s="9"/>
    </row>
    <row r="1445" s="2" customFormat="1" ht="30" customHeight="1" spans="1:6">
      <c r="A1445" s="9">
        <v>1442</v>
      </c>
      <c r="B1445" s="10" t="s">
        <v>1230</v>
      </c>
      <c r="C1445" s="10" t="s">
        <v>1231</v>
      </c>
      <c r="D1445" s="10" t="s">
        <v>1447</v>
      </c>
      <c r="E1445" s="10" t="str">
        <f>"644020240513102437173358"</f>
        <v>644020240513102437173358</v>
      </c>
      <c r="F1445" s="9"/>
    </row>
    <row r="1446" s="2" customFormat="1" ht="30" customHeight="1" spans="1:6">
      <c r="A1446" s="9">
        <v>1443</v>
      </c>
      <c r="B1446" s="10" t="s">
        <v>1230</v>
      </c>
      <c r="C1446" s="10" t="s">
        <v>1231</v>
      </c>
      <c r="D1446" s="10" t="s">
        <v>1448</v>
      </c>
      <c r="E1446" s="10" t="str">
        <f>"644020240512125159169211"</f>
        <v>644020240512125159169211</v>
      </c>
      <c r="F1446" s="9"/>
    </row>
    <row r="1447" s="2" customFormat="1" ht="30" customHeight="1" spans="1:6">
      <c r="A1447" s="9">
        <v>1444</v>
      </c>
      <c r="B1447" s="10" t="s">
        <v>1230</v>
      </c>
      <c r="C1447" s="10" t="s">
        <v>1231</v>
      </c>
      <c r="D1447" s="10" t="s">
        <v>1449</v>
      </c>
      <c r="E1447" s="10" t="str">
        <f>"644020240513100337173141"</f>
        <v>644020240513100337173141</v>
      </c>
      <c r="F1447" s="9"/>
    </row>
    <row r="1448" s="2" customFormat="1" ht="30" customHeight="1" spans="1:6">
      <c r="A1448" s="9">
        <v>1445</v>
      </c>
      <c r="B1448" s="10" t="s">
        <v>1230</v>
      </c>
      <c r="C1448" s="10" t="s">
        <v>1231</v>
      </c>
      <c r="D1448" s="10" t="s">
        <v>1450</v>
      </c>
      <c r="E1448" s="10" t="str">
        <f>"644020240513100643173180"</f>
        <v>644020240513100643173180</v>
      </c>
      <c r="F1448" s="9"/>
    </row>
    <row r="1449" s="2" customFormat="1" ht="30" customHeight="1" spans="1:6">
      <c r="A1449" s="9">
        <v>1446</v>
      </c>
      <c r="B1449" s="10" t="s">
        <v>1230</v>
      </c>
      <c r="C1449" s="10" t="s">
        <v>1231</v>
      </c>
      <c r="D1449" s="10" t="s">
        <v>1451</v>
      </c>
      <c r="E1449" s="10" t="str">
        <f>"644020240513101442173255"</f>
        <v>644020240513101442173255</v>
      </c>
      <c r="F1449" s="9"/>
    </row>
    <row r="1450" s="2" customFormat="1" ht="30" customHeight="1" spans="1:6">
      <c r="A1450" s="9">
        <v>1447</v>
      </c>
      <c r="B1450" s="10" t="s">
        <v>1230</v>
      </c>
      <c r="C1450" s="10" t="s">
        <v>1231</v>
      </c>
      <c r="D1450" s="10" t="s">
        <v>1452</v>
      </c>
      <c r="E1450" s="10" t="str">
        <f>"644020240512103404168585"</f>
        <v>644020240512103404168585</v>
      </c>
      <c r="F1450" s="9"/>
    </row>
    <row r="1451" s="2" customFormat="1" ht="30" customHeight="1" spans="1:6">
      <c r="A1451" s="9">
        <v>1448</v>
      </c>
      <c r="B1451" s="10" t="s">
        <v>1230</v>
      </c>
      <c r="C1451" s="10" t="s">
        <v>1231</v>
      </c>
      <c r="D1451" s="10" t="s">
        <v>1453</v>
      </c>
      <c r="E1451" s="10" t="str">
        <f>"644020240513100053173124"</f>
        <v>644020240513100053173124</v>
      </c>
      <c r="F1451" s="9"/>
    </row>
    <row r="1452" s="2" customFormat="1" ht="30" customHeight="1" spans="1:6">
      <c r="A1452" s="9">
        <v>1449</v>
      </c>
      <c r="B1452" s="10" t="s">
        <v>1230</v>
      </c>
      <c r="C1452" s="10" t="s">
        <v>1231</v>
      </c>
      <c r="D1452" s="10" t="s">
        <v>1454</v>
      </c>
      <c r="E1452" s="10" t="str">
        <f>"644020240513090938172590"</f>
        <v>644020240513090938172590</v>
      </c>
      <c r="F1452" s="9"/>
    </row>
    <row r="1453" s="2" customFormat="1" ht="30" customHeight="1" spans="1:6">
      <c r="A1453" s="9">
        <v>1450</v>
      </c>
      <c r="B1453" s="10" t="s">
        <v>1230</v>
      </c>
      <c r="C1453" s="10" t="s">
        <v>1231</v>
      </c>
      <c r="D1453" s="10" t="s">
        <v>1455</v>
      </c>
      <c r="E1453" s="10" t="str">
        <f>"644020240513090406172534"</f>
        <v>644020240513090406172534</v>
      </c>
      <c r="F1453" s="9"/>
    </row>
    <row r="1454" s="2" customFormat="1" ht="30" customHeight="1" spans="1:6">
      <c r="A1454" s="9">
        <v>1451</v>
      </c>
      <c r="B1454" s="10" t="s">
        <v>1230</v>
      </c>
      <c r="C1454" s="10" t="s">
        <v>1231</v>
      </c>
      <c r="D1454" s="10" t="s">
        <v>1456</v>
      </c>
      <c r="E1454" s="10" t="str">
        <f>"644020240513100225173133"</f>
        <v>644020240513100225173133</v>
      </c>
      <c r="F1454" s="9"/>
    </row>
    <row r="1455" s="2" customFormat="1" ht="30" customHeight="1" spans="1:6">
      <c r="A1455" s="9">
        <v>1452</v>
      </c>
      <c r="B1455" s="10" t="s">
        <v>1230</v>
      </c>
      <c r="C1455" s="10" t="s">
        <v>1231</v>
      </c>
      <c r="D1455" s="10" t="s">
        <v>1457</v>
      </c>
      <c r="E1455" s="10" t="str">
        <f>"644020240513104456173550"</f>
        <v>644020240513104456173550</v>
      </c>
      <c r="F1455" s="9"/>
    </row>
    <row r="1456" s="2" customFormat="1" ht="30" customHeight="1" spans="1:6">
      <c r="A1456" s="9">
        <v>1453</v>
      </c>
      <c r="B1456" s="10" t="s">
        <v>1230</v>
      </c>
      <c r="C1456" s="10" t="s">
        <v>1231</v>
      </c>
      <c r="D1456" s="10" t="s">
        <v>1458</v>
      </c>
      <c r="E1456" s="10" t="str">
        <f>"644020240512111004168771"</f>
        <v>644020240512111004168771</v>
      </c>
      <c r="F1456" s="9"/>
    </row>
    <row r="1457" s="2" customFormat="1" ht="30" customHeight="1" spans="1:6">
      <c r="A1457" s="9">
        <v>1454</v>
      </c>
      <c r="B1457" s="10" t="s">
        <v>1230</v>
      </c>
      <c r="C1457" s="10" t="s">
        <v>1231</v>
      </c>
      <c r="D1457" s="10" t="s">
        <v>1459</v>
      </c>
      <c r="E1457" s="10" t="str">
        <f>"644020240513100554173171"</f>
        <v>644020240513100554173171</v>
      </c>
      <c r="F1457" s="9"/>
    </row>
    <row r="1458" s="2" customFormat="1" ht="30" customHeight="1" spans="1:6">
      <c r="A1458" s="9">
        <v>1455</v>
      </c>
      <c r="B1458" s="10" t="s">
        <v>1230</v>
      </c>
      <c r="C1458" s="10" t="s">
        <v>1231</v>
      </c>
      <c r="D1458" s="10" t="s">
        <v>1460</v>
      </c>
      <c r="E1458" s="10" t="str">
        <f>"644020240513104915173593"</f>
        <v>644020240513104915173593</v>
      </c>
      <c r="F1458" s="9"/>
    </row>
    <row r="1459" s="2" customFormat="1" ht="30" customHeight="1" spans="1:6">
      <c r="A1459" s="9">
        <v>1456</v>
      </c>
      <c r="B1459" s="10" t="s">
        <v>1230</v>
      </c>
      <c r="C1459" s="10" t="s">
        <v>1231</v>
      </c>
      <c r="D1459" s="10" t="s">
        <v>1461</v>
      </c>
      <c r="E1459" s="10" t="str">
        <f>"644020240513105651173660"</f>
        <v>644020240513105651173660</v>
      </c>
      <c r="F1459" s="9"/>
    </row>
    <row r="1460" s="2" customFormat="1" ht="30" customHeight="1" spans="1:6">
      <c r="A1460" s="9">
        <v>1457</v>
      </c>
      <c r="B1460" s="10" t="s">
        <v>1230</v>
      </c>
      <c r="C1460" s="10" t="s">
        <v>1231</v>
      </c>
      <c r="D1460" s="10" t="s">
        <v>1462</v>
      </c>
      <c r="E1460" s="10" t="str">
        <f>"644020240513094738172986"</f>
        <v>644020240513094738172986</v>
      </c>
      <c r="F1460" s="9"/>
    </row>
    <row r="1461" s="2" customFormat="1" ht="30" customHeight="1" spans="1:6">
      <c r="A1461" s="9">
        <v>1458</v>
      </c>
      <c r="B1461" s="10" t="s">
        <v>1230</v>
      </c>
      <c r="C1461" s="10" t="s">
        <v>1231</v>
      </c>
      <c r="D1461" s="10" t="s">
        <v>1463</v>
      </c>
      <c r="E1461" s="10" t="str">
        <f>"644020240513102849173408"</f>
        <v>644020240513102849173408</v>
      </c>
      <c r="F1461" s="9"/>
    </row>
    <row r="1462" s="2" customFormat="1" ht="30" customHeight="1" spans="1:6">
      <c r="A1462" s="9">
        <v>1459</v>
      </c>
      <c r="B1462" s="10" t="s">
        <v>1230</v>
      </c>
      <c r="C1462" s="10" t="s">
        <v>1231</v>
      </c>
      <c r="D1462" s="10" t="s">
        <v>1464</v>
      </c>
      <c r="E1462" s="10" t="str">
        <f>"644020240513095923173113"</f>
        <v>644020240513095923173113</v>
      </c>
      <c r="F1462" s="9"/>
    </row>
    <row r="1463" s="2" customFormat="1" ht="30" customHeight="1" spans="1:6">
      <c r="A1463" s="9">
        <v>1460</v>
      </c>
      <c r="B1463" s="10" t="s">
        <v>1230</v>
      </c>
      <c r="C1463" s="10" t="s">
        <v>1231</v>
      </c>
      <c r="D1463" s="10" t="s">
        <v>1465</v>
      </c>
      <c r="E1463" s="10" t="str">
        <f>"644020240513105154173616"</f>
        <v>644020240513105154173616</v>
      </c>
      <c r="F1463" s="9"/>
    </row>
    <row r="1464" s="2" customFormat="1" ht="30" customHeight="1" spans="1:6">
      <c r="A1464" s="9">
        <v>1461</v>
      </c>
      <c r="B1464" s="10" t="s">
        <v>1230</v>
      </c>
      <c r="C1464" s="10" t="s">
        <v>1231</v>
      </c>
      <c r="D1464" s="10" t="s">
        <v>1466</v>
      </c>
      <c r="E1464" s="10" t="str">
        <f>"644020240512203248170851"</f>
        <v>644020240512203248170851</v>
      </c>
      <c r="F1464" s="9"/>
    </row>
    <row r="1465" s="2" customFormat="1" ht="30" customHeight="1" spans="1:6">
      <c r="A1465" s="9">
        <v>1462</v>
      </c>
      <c r="B1465" s="10" t="s">
        <v>1230</v>
      </c>
      <c r="C1465" s="10" t="s">
        <v>1231</v>
      </c>
      <c r="D1465" s="10" t="s">
        <v>1467</v>
      </c>
      <c r="E1465" s="10" t="str">
        <f>"644020240513101738173284"</f>
        <v>644020240513101738173284</v>
      </c>
      <c r="F1465" s="9"/>
    </row>
    <row r="1466" s="2" customFormat="1" ht="30" customHeight="1" spans="1:6">
      <c r="A1466" s="9">
        <v>1463</v>
      </c>
      <c r="B1466" s="10" t="s">
        <v>1230</v>
      </c>
      <c r="C1466" s="10" t="s">
        <v>1231</v>
      </c>
      <c r="D1466" s="10" t="s">
        <v>1468</v>
      </c>
      <c r="E1466" s="10" t="str">
        <f>"644020240513104910173592"</f>
        <v>644020240513104910173592</v>
      </c>
      <c r="F1466" s="9"/>
    </row>
    <row r="1467" s="2" customFormat="1" ht="30" customHeight="1" spans="1:6">
      <c r="A1467" s="9">
        <v>1464</v>
      </c>
      <c r="B1467" s="10" t="s">
        <v>1230</v>
      </c>
      <c r="C1467" s="10" t="s">
        <v>1231</v>
      </c>
      <c r="D1467" s="10" t="s">
        <v>1469</v>
      </c>
      <c r="E1467" s="10" t="str">
        <f>"644020240513095505173076"</f>
        <v>644020240513095505173076</v>
      </c>
      <c r="F1467" s="9"/>
    </row>
    <row r="1468" s="2" customFormat="1" ht="30" customHeight="1" spans="1:6">
      <c r="A1468" s="9">
        <v>1465</v>
      </c>
      <c r="B1468" s="10" t="s">
        <v>1230</v>
      </c>
      <c r="C1468" s="10" t="s">
        <v>1231</v>
      </c>
      <c r="D1468" s="10" t="s">
        <v>1470</v>
      </c>
      <c r="E1468" s="10" t="str">
        <f>"644020240513095421173069"</f>
        <v>644020240513095421173069</v>
      </c>
      <c r="F1468" s="9"/>
    </row>
    <row r="1469" s="2" customFormat="1" ht="30" customHeight="1" spans="1:6">
      <c r="A1469" s="9">
        <v>1466</v>
      </c>
      <c r="B1469" s="10" t="s">
        <v>1230</v>
      </c>
      <c r="C1469" s="10" t="s">
        <v>1231</v>
      </c>
      <c r="D1469" s="10" t="s">
        <v>1471</v>
      </c>
      <c r="E1469" s="10" t="str">
        <f>"644020240513110034173698"</f>
        <v>644020240513110034173698</v>
      </c>
      <c r="F1469" s="9"/>
    </row>
    <row r="1470" s="2" customFormat="1" ht="30" customHeight="1" spans="1:6">
      <c r="A1470" s="9">
        <v>1467</v>
      </c>
      <c r="B1470" s="10" t="s">
        <v>1230</v>
      </c>
      <c r="C1470" s="10" t="s">
        <v>1231</v>
      </c>
      <c r="D1470" s="10" t="s">
        <v>1472</v>
      </c>
      <c r="E1470" s="10" t="str">
        <f>"644020240513102202173328"</f>
        <v>644020240513102202173328</v>
      </c>
      <c r="F1470" s="9"/>
    </row>
    <row r="1471" s="2" customFormat="1" ht="30" customHeight="1" spans="1:6">
      <c r="A1471" s="9">
        <v>1468</v>
      </c>
      <c r="B1471" s="10" t="s">
        <v>1230</v>
      </c>
      <c r="C1471" s="10" t="s">
        <v>1231</v>
      </c>
      <c r="D1471" s="10" t="s">
        <v>1473</v>
      </c>
      <c r="E1471" s="10" t="str">
        <f>"644020240513110454173736"</f>
        <v>644020240513110454173736</v>
      </c>
      <c r="F1471" s="9"/>
    </row>
    <row r="1472" s="2" customFormat="1" ht="30" customHeight="1" spans="1:6">
      <c r="A1472" s="9">
        <v>1469</v>
      </c>
      <c r="B1472" s="10" t="s">
        <v>1230</v>
      </c>
      <c r="C1472" s="10" t="s">
        <v>1231</v>
      </c>
      <c r="D1472" s="10" t="s">
        <v>1474</v>
      </c>
      <c r="E1472" s="10" t="str">
        <f>"644020240513111709173853"</f>
        <v>644020240513111709173853</v>
      </c>
      <c r="F1472" s="9"/>
    </row>
    <row r="1473" s="2" customFormat="1" ht="30" customHeight="1" spans="1:6">
      <c r="A1473" s="9">
        <v>1470</v>
      </c>
      <c r="B1473" s="10" t="s">
        <v>1230</v>
      </c>
      <c r="C1473" s="10" t="s">
        <v>1231</v>
      </c>
      <c r="D1473" s="10" t="s">
        <v>1475</v>
      </c>
      <c r="E1473" s="10" t="str">
        <f>"644020240512101057168450"</f>
        <v>644020240512101057168450</v>
      </c>
      <c r="F1473" s="9"/>
    </row>
    <row r="1474" s="2" customFormat="1" ht="30" customHeight="1" spans="1:6">
      <c r="A1474" s="9">
        <v>1471</v>
      </c>
      <c r="B1474" s="10" t="s">
        <v>1230</v>
      </c>
      <c r="C1474" s="10" t="s">
        <v>1231</v>
      </c>
      <c r="D1474" s="10" t="s">
        <v>1476</v>
      </c>
      <c r="E1474" s="10" t="str">
        <f>"644020240513102150173323"</f>
        <v>644020240513102150173323</v>
      </c>
      <c r="F1474" s="9"/>
    </row>
    <row r="1475" s="2" customFormat="1" ht="30" customHeight="1" spans="1:6">
      <c r="A1475" s="9">
        <v>1472</v>
      </c>
      <c r="B1475" s="10" t="s">
        <v>1230</v>
      </c>
      <c r="C1475" s="10" t="s">
        <v>1231</v>
      </c>
      <c r="D1475" s="10" t="s">
        <v>1477</v>
      </c>
      <c r="E1475" s="10" t="str">
        <f>"644020240513101648173277"</f>
        <v>644020240513101648173277</v>
      </c>
      <c r="F1475" s="9"/>
    </row>
    <row r="1476" s="2" customFormat="1" ht="30" customHeight="1" spans="1:6">
      <c r="A1476" s="9">
        <v>1473</v>
      </c>
      <c r="B1476" s="10" t="s">
        <v>1230</v>
      </c>
      <c r="C1476" s="10" t="s">
        <v>1231</v>
      </c>
      <c r="D1476" s="10" t="s">
        <v>1478</v>
      </c>
      <c r="E1476" s="10" t="str">
        <f>"644020240512224617171589"</f>
        <v>644020240512224617171589</v>
      </c>
      <c r="F1476" s="9"/>
    </row>
    <row r="1477" s="2" customFormat="1" ht="30" customHeight="1" spans="1:6">
      <c r="A1477" s="9">
        <v>1474</v>
      </c>
      <c r="B1477" s="10" t="s">
        <v>1230</v>
      </c>
      <c r="C1477" s="10" t="s">
        <v>1231</v>
      </c>
      <c r="D1477" s="10" t="s">
        <v>476</v>
      </c>
      <c r="E1477" s="10" t="str">
        <f>"644020240513112951173960"</f>
        <v>644020240513112951173960</v>
      </c>
      <c r="F1477" s="9"/>
    </row>
    <row r="1478" s="2" customFormat="1" ht="30" customHeight="1" spans="1:6">
      <c r="A1478" s="9">
        <v>1475</v>
      </c>
      <c r="B1478" s="10" t="s">
        <v>1230</v>
      </c>
      <c r="C1478" s="10" t="s">
        <v>1231</v>
      </c>
      <c r="D1478" s="10" t="s">
        <v>127</v>
      </c>
      <c r="E1478" s="10" t="str">
        <f>"644020240513111832173869"</f>
        <v>644020240513111832173869</v>
      </c>
      <c r="F1478" s="9"/>
    </row>
    <row r="1479" s="2" customFormat="1" ht="30" customHeight="1" spans="1:6">
      <c r="A1479" s="9">
        <v>1476</v>
      </c>
      <c r="B1479" s="10" t="s">
        <v>1230</v>
      </c>
      <c r="C1479" s="10" t="s">
        <v>1231</v>
      </c>
      <c r="D1479" s="10" t="s">
        <v>1479</v>
      </c>
      <c r="E1479" s="10" t="str">
        <f>"644020240513103445173467"</f>
        <v>644020240513103445173467</v>
      </c>
      <c r="F1479" s="9"/>
    </row>
    <row r="1480" s="2" customFormat="1" ht="30" customHeight="1" spans="1:6">
      <c r="A1480" s="9">
        <v>1477</v>
      </c>
      <c r="B1480" s="10" t="s">
        <v>1230</v>
      </c>
      <c r="C1480" s="10" t="s">
        <v>1231</v>
      </c>
      <c r="D1480" s="10" t="s">
        <v>1480</v>
      </c>
      <c r="E1480" s="10" t="str">
        <f>"644020240513114123174041"</f>
        <v>644020240513114123174041</v>
      </c>
      <c r="F1480" s="9"/>
    </row>
    <row r="1481" s="2" customFormat="1" ht="30" customHeight="1" spans="1:6">
      <c r="A1481" s="9">
        <v>1478</v>
      </c>
      <c r="B1481" s="10" t="s">
        <v>1230</v>
      </c>
      <c r="C1481" s="10" t="s">
        <v>1231</v>
      </c>
      <c r="D1481" s="10" t="s">
        <v>1481</v>
      </c>
      <c r="E1481" s="10" t="str">
        <f>"644020240513102525173364"</f>
        <v>644020240513102525173364</v>
      </c>
      <c r="F1481" s="9"/>
    </row>
    <row r="1482" s="2" customFormat="1" ht="30" customHeight="1" spans="1:6">
      <c r="A1482" s="9">
        <v>1479</v>
      </c>
      <c r="B1482" s="10" t="s">
        <v>1230</v>
      </c>
      <c r="C1482" s="10" t="s">
        <v>1231</v>
      </c>
      <c r="D1482" s="10" t="s">
        <v>1482</v>
      </c>
      <c r="E1482" s="10" t="str">
        <f>"644020240513114304174048"</f>
        <v>644020240513114304174048</v>
      </c>
      <c r="F1482" s="9"/>
    </row>
    <row r="1483" s="2" customFormat="1" ht="30" customHeight="1" spans="1:6">
      <c r="A1483" s="9">
        <v>1480</v>
      </c>
      <c r="B1483" s="10" t="s">
        <v>1230</v>
      </c>
      <c r="C1483" s="10" t="s">
        <v>1231</v>
      </c>
      <c r="D1483" s="10" t="s">
        <v>1483</v>
      </c>
      <c r="E1483" s="10" t="str">
        <f>"644020240513114707174072"</f>
        <v>644020240513114707174072</v>
      </c>
      <c r="F1483" s="9"/>
    </row>
    <row r="1484" s="2" customFormat="1" ht="30" customHeight="1" spans="1:6">
      <c r="A1484" s="9">
        <v>1481</v>
      </c>
      <c r="B1484" s="10" t="s">
        <v>1230</v>
      </c>
      <c r="C1484" s="10" t="s">
        <v>1231</v>
      </c>
      <c r="D1484" s="10" t="s">
        <v>1484</v>
      </c>
      <c r="E1484" s="10" t="str">
        <f>"644020240513114915174085"</f>
        <v>644020240513114915174085</v>
      </c>
      <c r="F1484" s="9"/>
    </row>
    <row r="1485" s="2" customFormat="1" ht="30" customHeight="1" spans="1:6">
      <c r="A1485" s="9">
        <v>1482</v>
      </c>
      <c r="B1485" s="10" t="s">
        <v>1230</v>
      </c>
      <c r="C1485" s="10" t="s">
        <v>1231</v>
      </c>
      <c r="D1485" s="10" t="s">
        <v>1485</v>
      </c>
      <c r="E1485" s="10" t="str">
        <f>"644020240512100635168427"</f>
        <v>644020240512100635168427</v>
      </c>
      <c r="F1485" s="9"/>
    </row>
    <row r="1486" s="2" customFormat="1" ht="30" customHeight="1" spans="1:6">
      <c r="A1486" s="9">
        <v>1483</v>
      </c>
      <c r="B1486" s="10" t="s">
        <v>1230</v>
      </c>
      <c r="C1486" s="10" t="s">
        <v>1231</v>
      </c>
      <c r="D1486" s="10" t="s">
        <v>1486</v>
      </c>
      <c r="E1486" s="10" t="str">
        <f>"644020240513112147173896"</f>
        <v>644020240513112147173896</v>
      </c>
      <c r="F1486" s="9"/>
    </row>
    <row r="1487" s="2" customFormat="1" ht="30" customHeight="1" spans="1:6">
      <c r="A1487" s="9">
        <v>1484</v>
      </c>
      <c r="B1487" s="10" t="s">
        <v>1230</v>
      </c>
      <c r="C1487" s="10" t="s">
        <v>1231</v>
      </c>
      <c r="D1487" s="10" t="s">
        <v>1487</v>
      </c>
      <c r="E1487" s="10" t="str">
        <f>"644020240512114353168951"</f>
        <v>644020240512114353168951</v>
      </c>
      <c r="F1487" s="9"/>
    </row>
    <row r="1488" s="2" customFormat="1" ht="30" customHeight="1" spans="1:6">
      <c r="A1488" s="9">
        <v>1485</v>
      </c>
      <c r="B1488" s="10" t="s">
        <v>1230</v>
      </c>
      <c r="C1488" s="10" t="s">
        <v>1231</v>
      </c>
      <c r="D1488" s="10" t="s">
        <v>1488</v>
      </c>
      <c r="E1488" s="10" t="str">
        <f>"644020240513084752172405"</f>
        <v>644020240513084752172405</v>
      </c>
      <c r="F1488" s="9"/>
    </row>
    <row r="1489" s="2" customFormat="1" ht="30" customHeight="1" spans="1:6">
      <c r="A1489" s="9">
        <v>1486</v>
      </c>
      <c r="B1489" s="10" t="s">
        <v>1230</v>
      </c>
      <c r="C1489" s="10" t="s">
        <v>1231</v>
      </c>
      <c r="D1489" s="10" t="s">
        <v>1489</v>
      </c>
      <c r="E1489" s="10" t="str">
        <f>"644020240513113943174032"</f>
        <v>644020240513113943174032</v>
      </c>
      <c r="F1489" s="9"/>
    </row>
    <row r="1490" s="2" customFormat="1" ht="30" customHeight="1" spans="1:6">
      <c r="A1490" s="9">
        <v>1487</v>
      </c>
      <c r="B1490" s="10" t="s">
        <v>1230</v>
      </c>
      <c r="C1490" s="10" t="s">
        <v>1231</v>
      </c>
      <c r="D1490" s="10" t="s">
        <v>1490</v>
      </c>
      <c r="E1490" s="10" t="str">
        <f>"644020240512192540170591"</f>
        <v>644020240512192540170591</v>
      </c>
      <c r="F1490" s="9"/>
    </row>
    <row r="1491" s="2" customFormat="1" ht="30" customHeight="1" spans="1:6">
      <c r="A1491" s="9">
        <v>1488</v>
      </c>
      <c r="B1491" s="10" t="s">
        <v>1230</v>
      </c>
      <c r="C1491" s="10" t="s">
        <v>1231</v>
      </c>
      <c r="D1491" s="10" t="s">
        <v>1491</v>
      </c>
      <c r="E1491" s="10" t="str">
        <f>"644020240513104958173600"</f>
        <v>644020240513104958173600</v>
      </c>
      <c r="F1491" s="9"/>
    </row>
    <row r="1492" s="2" customFormat="1" ht="30" customHeight="1" spans="1:6">
      <c r="A1492" s="9">
        <v>1489</v>
      </c>
      <c r="B1492" s="10" t="s">
        <v>1230</v>
      </c>
      <c r="C1492" s="10" t="s">
        <v>1231</v>
      </c>
      <c r="D1492" s="10" t="s">
        <v>1492</v>
      </c>
      <c r="E1492" s="10" t="str">
        <f>"644020240513115209174106"</f>
        <v>644020240513115209174106</v>
      </c>
      <c r="F1492" s="9"/>
    </row>
    <row r="1493" s="2" customFormat="1" ht="30" customHeight="1" spans="1:6">
      <c r="A1493" s="9">
        <v>1490</v>
      </c>
      <c r="B1493" s="10" t="s">
        <v>1230</v>
      </c>
      <c r="C1493" s="10" t="s">
        <v>1231</v>
      </c>
      <c r="D1493" s="10" t="s">
        <v>1493</v>
      </c>
      <c r="E1493" s="10" t="str">
        <f>"644020240513120503174165"</f>
        <v>644020240513120503174165</v>
      </c>
      <c r="F1493" s="9"/>
    </row>
    <row r="1494" s="2" customFormat="1" ht="30" customHeight="1" spans="1:6">
      <c r="A1494" s="9">
        <v>1491</v>
      </c>
      <c r="B1494" s="10" t="s">
        <v>1230</v>
      </c>
      <c r="C1494" s="10" t="s">
        <v>1231</v>
      </c>
      <c r="D1494" s="10" t="s">
        <v>1494</v>
      </c>
      <c r="E1494" s="10" t="str">
        <f>"644020240513091802172678"</f>
        <v>644020240513091802172678</v>
      </c>
      <c r="F1494" s="9"/>
    </row>
    <row r="1495" s="2" customFormat="1" ht="30" customHeight="1" spans="1:6">
      <c r="A1495" s="9">
        <v>1492</v>
      </c>
      <c r="B1495" s="10" t="s">
        <v>1230</v>
      </c>
      <c r="C1495" s="10" t="s">
        <v>1231</v>
      </c>
      <c r="D1495" s="10" t="s">
        <v>1495</v>
      </c>
      <c r="E1495" s="10" t="str">
        <f>"644020240513095204173040"</f>
        <v>644020240513095204173040</v>
      </c>
      <c r="F1495" s="9"/>
    </row>
    <row r="1496" s="2" customFormat="1" ht="30" customHeight="1" spans="1:6">
      <c r="A1496" s="9">
        <v>1493</v>
      </c>
      <c r="B1496" s="10" t="s">
        <v>1230</v>
      </c>
      <c r="C1496" s="10" t="s">
        <v>1231</v>
      </c>
      <c r="D1496" s="10" t="s">
        <v>1496</v>
      </c>
      <c r="E1496" s="10" t="str">
        <f>"644020240513122013174245"</f>
        <v>644020240513122013174245</v>
      </c>
      <c r="F1496" s="9"/>
    </row>
    <row r="1497" s="2" customFormat="1" ht="30" customHeight="1" spans="1:6">
      <c r="A1497" s="9">
        <v>1494</v>
      </c>
      <c r="B1497" s="10" t="s">
        <v>1230</v>
      </c>
      <c r="C1497" s="10" t="s">
        <v>1231</v>
      </c>
      <c r="D1497" s="10" t="s">
        <v>1497</v>
      </c>
      <c r="E1497" s="10" t="str">
        <f>"644020240512092335168212"</f>
        <v>644020240512092335168212</v>
      </c>
      <c r="F1497" s="9"/>
    </row>
    <row r="1498" s="2" customFormat="1" ht="30" customHeight="1" spans="1:6">
      <c r="A1498" s="9">
        <v>1495</v>
      </c>
      <c r="B1498" s="10" t="s">
        <v>1230</v>
      </c>
      <c r="C1498" s="10" t="s">
        <v>1231</v>
      </c>
      <c r="D1498" s="10" t="s">
        <v>1498</v>
      </c>
      <c r="E1498" s="10" t="str">
        <f>"644020240513122009174244"</f>
        <v>644020240513122009174244</v>
      </c>
      <c r="F1498" s="9"/>
    </row>
    <row r="1499" s="2" customFormat="1" ht="30" customHeight="1" spans="1:6">
      <c r="A1499" s="9">
        <v>1496</v>
      </c>
      <c r="B1499" s="10" t="s">
        <v>1230</v>
      </c>
      <c r="C1499" s="10" t="s">
        <v>1231</v>
      </c>
      <c r="D1499" s="10" t="s">
        <v>1499</v>
      </c>
      <c r="E1499" s="10" t="str">
        <f>"644020240512155529169862"</f>
        <v>644020240512155529169862</v>
      </c>
      <c r="F1499" s="9"/>
    </row>
    <row r="1500" s="2" customFormat="1" ht="30" customHeight="1" spans="1:6">
      <c r="A1500" s="9">
        <v>1497</v>
      </c>
      <c r="B1500" s="10" t="s">
        <v>1230</v>
      </c>
      <c r="C1500" s="10" t="s">
        <v>1231</v>
      </c>
      <c r="D1500" s="10" t="s">
        <v>1500</v>
      </c>
      <c r="E1500" s="10" t="str">
        <f>"644020240513121607174222"</f>
        <v>644020240513121607174222</v>
      </c>
      <c r="F1500" s="9"/>
    </row>
    <row r="1501" s="2" customFormat="1" ht="30" customHeight="1" spans="1:6">
      <c r="A1501" s="9">
        <v>1498</v>
      </c>
      <c r="B1501" s="10" t="s">
        <v>1230</v>
      </c>
      <c r="C1501" s="10" t="s">
        <v>1231</v>
      </c>
      <c r="D1501" s="10" t="s">
        <v>1501</v>
      </c>
      <c r="E1501" s="10" t="str">
        <f>"644020240513122018174246"</f>
        <v>644020240513122018174246</v>
      </c>
      <c r="F1501" s="9"/>
    </row>
    <row r="1502" s="2" customFormat="1" ht="30" customHeight="1" spans="1:6">
      <c r="A1502" s="9">
        <v>1499</v>
      </c>
      <c r="B1502" s="10" t="s">
        <v>1230</v>
      </c>
      <c r="C1502" s="10" t="s">
        <v>1231</v>
      </c>
      <c r="D1502" s="10" t="s">
        <v>1502</v>
      </c>
      <c r="E1502" s="10" t="str">
        <f>"644020240512201604170779"</f>
        <v>644020240512201604170779</v>
      </c>
      <c r="F1502" s="9"/>
    </row>
    <row r="1503" s="2" customFormat="1" ht="30" customHeight="1" spans="1:6">
      <c r="A1503" s="9">
        <v>1500</v>
      </c>
      <c r="B1503" s="10" t="s">
        <v>1230</v>
      </c>
      <c r="C1503" s="10" t="s">
        <v>1231</v>
      </c>
      <c r="D1503" s="10" t="s">
        <v>1503</v>
      </c>
      <c r="E1503" s="10" t="str">
        <f>"644020240512195105170674"</f>
        <v>644020240512195105170674</v>
      </c>
      <c r="F1503" s="9"/>
    </row>
    <row r="1504" s="2" customFormat="1" ht="30" customHeight="1" spans="1:6">
      <c r="A1504" s="9">
        <v>1501</v>
      </c>
      <c r="B1504" s="10" t="s">
        <v>1230</v>
      </c>
      <c r="C1504" s="10" t="s">
        <v>1231</v>
      </c>
      <c r="D1504" s="10" t="s">
        <v>1504</v>
      </c>
      <c r="E1504" s="10" t="str">
        <f>"644020240513124252174382"</f>
        <v>644020240513124252174382</v>
      </c>
      <c r="F1504" s="9"/>
    </row>
    <row r="1505" s="2" customFormat="1" ht="30" customHeight="1" spans="1:6">
      <c r="A1505" s="9">
        <v>1502</v>
      </c>
      <c r="B1505" s="10" t="s">
        <v>1230</v>
      </c>
      <c r="C1505" s="10" t="s">
        <v>1231</v>
      </c>
      <c r="D1505" s="10" t="s">
        <v>1505</v>
      </c>
      <c r="E1505" s="10" t="str">
        <f>"644020240513110758173759"</f>
        <v>644020240513110758173759</v>
      </c>
      <c r="F1505" s="9"/>
    </row>
    <row r="1506" s="2" customFormat="1" ht="30" customHeight="1" spans="1:6">
      <c r="A1506" s="9">
        <v>1503</v>
      </c>
      <c r="B1506" s="10" t="s">
        <v>1230</v>
      </c>
      <c r="C1506" s="10" t="s">
        <v>1231</v>
      </c>
      <c r="D1506" s="10" t="s">
        <v>1506</v>
      </c>
      <c r="E1506" s="10" t="str">
        <f>"644020240513130351174540"</f>
        <v>644020240513130351174540</v>
      </c>
      <c r="F1506" s="9"/>
    </row>
    <row r="1507" s="2" customFormat="1" ht="30" customHeight="1" spans="1:6">
      <c r="A1507" s="9">
        <v>1504</v>
      </c>
      <c r="B1507" s="10" t="s">
        <v>1230</v>
      </c>
      <c r="C1507" s="10" t="s">
        <v>1231</v>
      </c>
      <c r="D1507" s="10" t="s">
        <v>1507</v>
      </c>
      <c r="E1507" s="10" t="str">
        <f>"644020240512120304169019"</f>
        <v>644020240512120304169019</v>
      </c>
      <c r="F1507" s="9"/>
    </row>
    <row r="1508" s="2" customFormat="1" ht="30" customHeight="1" spans="1:6">
      <c r="A1508" s="9">
        <v>1505</v>
      </c>
      <c r="B1508" s="10" t="s">
        <v>1230</v>
      </c>
      <c r="C1508" s="10" t="s">
        <v>1231</v>
      </c>
      <c r="D1508" s="10" t="s">
        <v>1508</v>
      </c>
      <c r="E1508" s="10" t="str">
        <f>"644020240513121030174190"</f>
        <v>644020240513121030174190</v>
      </c>
      <c r="F1508" s="9"/>
    </row>
    <row r="1509" s="2" customFormat="1" ht="30" customHeight="1" spans="1:6">
      <c r="A1509" s="9">
        <v>1506</v>
      </c>
      <c r="B1509" s="10" t="s">
        <v>1230</v>
      </c>
      <c r="C1509" s="10" t="s">
        <v>1231</v>
      </c>
      <c r="D1509" s="10" t="s">
        <v>1509</v>
      </c>
      <c r="E1509" s="10" t="str">
        <f>"644020240513130928174574"</f>
        <v>644020240513130928174574</v>
      </c>
      <c r="F1509" s="9"/>
    </row>
    <row r="1510" s="2" customFormat="1" ht="30" customHeight="1" spans="1:6">
      <c r="A1510" s="9">
        <v>1507</v>
      </c>
      <c r="B1510" s="10" t="s">
        <v>1230</v>
      </c>
      <c r="C1510" s="10" t="s">
        <v>1231</v>
      </c>
      <c r="D1510" s="10" t="s">
        <v>1510</v>
      </c>
      <c r="E1510" s="10" t="str">
        <f>"644020240513130102174520"</f>
        <v>644020240513130102174520</v>
      </c>
      <c r="F1510" s="9"/>
    </row>
    <row r="1511" s="2" customFormat="1" ht="30" customHeight="1" spans="1:6">
      <c r="A1511" s="9">
        <v>1508</v>
      </c>
      <c r="B1511" s="10" t="s">
        <v>1230</v>
      </c>
      <c r="C1511" s="10" t="s">
        <v>1231</v>
      </c>
      <c r="D1511" s="10" t="s">
        <v>1511</v>
      </c>
      <c r="E1511" s="10" t="str">
        <f>"644020240513131337174589"</f>
        <v>644020240513131337174589</v>
      </c>
      <c r="F1511" s="9"/>
    </row>
    <row r="1512" s="2" customFormat="1" ht="30" customHeight="1" spans="1:6">
      <c r="A1512" s="9">
        <v>1509</v>
      </c>
      <c r="B1512" s="10" t="s">
        <v>1230</v>
      </c>
      <c r="C1512" s="10" t="s">
        <v>1231</v>
      </c>
      <c r="D1512" s="10" t="s">
        <v>1512</v>
      </c>
      <c r="E1512" s="10" t="str">
        <f>"644020240513132639174645"</f>
        <v>644020240513132639174645</v>
      </c>
      <c r="F1512" s="9"/>
    </row>
    <row r="1513" s="2" customFormat="1" ht="30" customHeight="1" spans="1:6">
      <c r="A1513" s="9">
        <v>1510</v>
      </c>
      <c r="B1513" s="10" t="s">
        <v>1230</v>
      </c>
      <c r="C1513" s="10" t="s">
        <v>1231</v>
      </c>
      <c r="D1513" s="10" t="s">
        <v>1513</v>
      </c>
      <c r="E1513" s="10" t="str">
        <f>"644020240513132636174643"</f>
        <v>644020240513132636174643</v>
      </c>
      <c r="F1513" s="9"/>
    </row>
    <row r="1514" s="2" customFormat="1" ht="30" customHeight="1" spans="1:6">
      <c r="A1514" s="9">
        <v>1511</v>
      </c>
      <c r="B1514" s="10" t="s">
        <v>1230</v>
      </c>
      <c r="C1514" s="10" t="s">
        <v>1231</v>
      </c>
      <c r="D1514" s="10" t="s">
        <v>1514</v>
      </c>
      <c r="E1514" s="10" t="str">
        <f>"644020240512110242168738"</f>
        <v>644020240512110242168738</v>
      </c>
      <c r="F1514" s="9"/>
    </row>
    <row r="1515" s="2" customFormat="1" ht="30" customHeight="1" spans="1:6">
      <c r="A1515" s="9">
        <v>1512</v>
      </c>
      <c r="B1515" s="10" t="s">
        <v>1230</v>
      </c>
      <c r="C1515" s="10" t="s">
        <v>1231</v>
      </c>
      <c r="D1515" s="10" t="s">
        <v>1515</v>
      </c>
      <c r="E1515" s="10" t="str">
        <f>"644020240513131737174603"</f>
        <v>644020240513131737174603</v>
      </c>
      <c r="F1515" s="9"/>
    </row>
    <row r="1516" s="2" customFormat="1" ht="30" customHeight="1" spans="1:6">
      <c r="A1516" s="9">
        <v>1513</v>
      </c>
      <c r="B1516" s="10" t="s">
        <v>1230</v>
      </c>
      <c r="C1516" s="10" t="s">
        <v>1231</v>
      </c>
      <c r="D1516" s="10" t="s">
        <v>1516</v>
      </c>
      <c r="E1516" s="10" t="str">
        <f>"644020240513134453174732"</f>
        <v>644020240513134453174732</v>
      </c>
      <c r="F1516" s="9"/>
    </row>
    <row r="1517" s="2" customFormat="1" ht="30" customHeight="1" spans="1:6">
      <c r="A1517" s="9">
        <v>1514</v>
      </c>
      <c r="B1517" s="10" t="s">
        <v>1230</v>
      </c>
      <c r="C1517" s="10" t="s">
        <v>1231</v>
      </c>
      <c r="D1517" s="10" t="s">
        <v>1517</v>
      </c>
      <c r="E1517" s="10" t="str">
        <f>"644020240513132933174653"</f>
        <v>644020240513132933174653</v>
      </c>
      <c r="F1517" s="9"/>
    </row>
    <row r="1518" s="2" customFormat="1" ht="30" customHeight="1" spans="1:6">
      <c r="A1518" s="9">
        <v>1515</v>
      </c>
      <c r="B1518" s="10" t="s">
        <v>1230</v>
      </c>
      <c r="C1518" s="10" t="s">
        <v>1231</v>
      </c>
      <c r="D1518" s="10" t="s">
        <v>1518</v>
      </c>
      <c r="E1518" s="10" t="str">
        <f>"644020240513130814174568"</f>
        <v>644020240513130814174568</v>
      </c>
      <c r="F1518" s="9"/>
    </row>
    <row r="1519" s="2" customFormat="1" ht="30" customHeight="1" spans="1:6">
      <c r="A1519" s="9">
        <v>1516</v>
      </c>
      <c r="B1519" s="10" t="s">
        <v>1230</v>
      </c>
      <c r="C1519" s="10" t="s">
        <v>1231</v>
      </c>
      <c r="D1519" s="10" t="s">
        <v>1519</v>
      </c>
      <c r="E1519" s="10" t="str">
        <f>"644020240513132232174626"</f>
        <v>644020240513132232174626</v>
      </c>
      <c r="F1519" s="9"/>
    </row>
    <row r="1520" s="2" customFormat="1" ht="30" customHeight="1" spans="1:6">
      <c r="A1520" s="9">
        <v>1517</v>
      </c>
      <c r="B1520" s="10" t="s">
        <v>1230</v>
      </c>
      <c r="C1520" s="10" t="s">
        <v>1231</v>
      </c>
      <c r="D1520" s="10" t="s">
        <v>1520</v>
      </c>
      <c r="E1520" s="10" t="str">
        <f>"644020240513122455174265"</f>
        <v>644020240513122455174265</v>
      </c>
      <c r="F1520" s="9"/>
    </row>
    <row r="1521" s="2" customFormat="1" ht="30" customHeight="1" spans="1:6">
      <c r="A1521" s="9">
        <v>1518</v>
      </c>
      <c r="B1521" s="10" t="s">
        <v>1230</v>
      </c>
      <c r="C1521" s="10" t="s">
        <v>1231</v>
      </c>
      <c r="D1521" s="10" t="s">
        <v>1521</v>
      </c>
      <c r="E1521" s="10" t="str">
        <f>"644020240513103711173483"</f>
        <v>644020240513103711173483</v>
      </c>
      <c r="F1521" s="9"/>
    </row>
    <row r="1522" s="2" customFormat="1" ht="30" customHeight="1" spans="1:6">
      <c r="A1522" s="9">
        <v>1519</v>
      </c>
      <c r="B1522" s="10" t="s">
        <v>1230</v>
      </c>
      <c r="C1522" s="10" t="s">
        <v>1231</v>
      </c>
      <c r="D1522" s="10" t="s">
        <v>1522</v>
      </c>
      <c r="E1522" s="10" t="str">
        <f>"644020240512191949170564"</f>
        <v>644020240512191949170564</v>
      </c>
      <c r="F1522" s="9"/>
    </row>
    <row r="1523" s="2" customFormat="1" ht="30" customHeight="1" spans="1:6">
      <c r="A1523" s="9">
        <v>1520</v>
      </c>
      <c r="B1523" s="10" t="s">
        <v>1230</v>
      </c>
      <c r="C1523" s="10" t="s">
        <v>1231</v>
      </c>
      <c r="D1523" s="10" t="s">
        <v>1523</v>
      </c>
      <c r="E1523" s="10" t="str">
        <f>"644020240513140021174791"</f>
        <v>644020240513140021174791</v>
      </c>
      <c r="F1523" s="9"/>
    </row>
    <row r="1524" s="2" customFormat="1" ht="30" customHeight="1" spans="1:6">
      <c r="A1524" s="9">
        <v>1521</v>
      </c>
      <c r="B1524" s="10" t="s">
        <v>1230</v>
      </c>
      <c r="C1524" s="10" t="s">
        <v>1231</v>
      </c>
      <c r="D1524" s="10" t="s">
        <v>1524</v>
      </c>
      <c r="E1524" s="10" t="str">
        <f>"644020240513142810174963"</f>
        <v>644020240513142810174963</v>
      </c>
      <c r="F1524" s="9"/>
    </row>
    <row r="1525" s="2" customFormat="1" ht="30" customHeight="1" spans="1:6">
      <c r="A1525" s="9">
        <v>1522</v>
      </c>
      <c r="B1525" s="10" t="s">
        <v>1230</v>
      </c>
      <c r="C1525" s="10" t="s">
        <v>1231</v>
      </c>
      <c r="D1525" s="10" t="s">
        <v>1525</v>
      </c>
      <c r="E1525" s="10" t="str">
        <f>"644020240513140527174820"</f>
        <v>644020240513140527174820</v>
      </c>
      <c r="F1525" s="9"/>
    </row>
    <row r="1526" s="2" customFormat="1" ht="30" customHeight="1" spans="1:6">
      <c r="A1526" s="9">
        <v>1523</v>
      </c>
      <c r="B1526" s="10" t="s">
        <v>1230</v>
      </c>
      <c r="C1526" s="10" t="s">
        <v>1231</v>
      </c>
      <c r="D1526" s="10" t="s">
        <v>1526</v>
      </c>
      <c r="E1526" s="10" t="str">
        <f>"644020240513142357174928"</f>
        <v>644020240513142357174928</v>
      </c>
      <c r="F1526" s="9"/>
    </row>
    <row r="1527" s="2" customFormat="1" ht="30" customHeight="1" spans="1:6">
      <c r="A1527" s="9">
        <v>1524</v>
      </c>
      <c r="B1527" s="10" t="s">
        <v>1230</v>
      </c>
      <c r="C1527" s="10" t="s">
        <v>1231</v>
      </c>
      <c r="D1527" s="10" t="s">
        <v>1527</v>
      </c>
      <c r="E1527" s="10" t="str">
        <f>"644020240513111504173830"</f>
        <v>644020240513111504173830</v>
      </c>
      <c r="F1527" s="9"/>
    </row>
    <row r="1528" s="2" customFormat="1" ht="30" customHeight="1" spans="1:6">
      <c r="A1528" s="9">
        <v>1525</v>
      </c>
      <c r="B1528" s="10" t="s">
        <v>1230</v>
      </c>
      <c r="C1528" s="10" t="s">
        <v>1231</v>
      </c>
      <c r="D1528" s="10" t="s">
        <v>1528</v>
      </c>
      <c r="E1528" s="10" t="str">
        <f>"644020240513114931174088"</f>
        <v>644020240513114931174088</v>
      </c>
      <c r="F1528" s="9"/>
    </row>
    <row r="1529" s="2" customFormat="1" ht="30" customHeight="1" spans="1:6">
      <c r="A1529" s="9">
        <v>1526</v>
      </c>
      <c r="B1529" s="10" t="s">
        <v>1230</v>
      </c>
      <c r="C1529" s="10" t="s">
        <v>1231</v>
      </c>
      <c r="D1529" s="10" t="s">
        <v>1529</v>
      </c>
      <c r="E1529" s="10" t="str">
        <f>"644020240513144752175092"</f>
        <v>644020240513144752175092</v>
      </c>
      <c r="F1529" s="9"/>
    </row>
    <row r="1530" s="2" customFormat="1" ht="30" customHeight="1" spans="1:6">
      <c r="A1530" s="9">
        <v>1527</v>
      </c>
      <c r="B1530" s="10" t="s">
        <v>1230</v>
      </c>
      <c r="C1530" s="10" t="s">
        <v>1231</v>
      </c>
      <c r="D1530" s="10" t="s">
        <v>1530</v>
      </c>
      <c r="E1530" s="10" t="str">
        <f>"644020240513144721175090"</f>
        <v>644020240513144721175090</v>
      </c>
      <c r="F1530" s="9"/>
    </row>
    <row r="1531" s="2" customFormat="1" ht="30" customHeight="1" spans="1:6">
      <c r="A1531" s="9">
        <v>1528</v>
      </c>
      <c r="B1531" s="10" t="s">
        <v>1230</v>
      </c>
      <c r="C1531" s="10" t="s">
        <v>1231</v>
      </c>
      <c r="D1531" s="10" t="s">
        <v>1531</v>
      </c>
      <c r="E1531" s="10" t="str">
        <f>"644020240513105344173631"</f>
        <v>644020240513105344173631</v>
      </c>
      <c r="F1531" s="9"/>
    </row>
    <row r="1532" s="2" customFormat="1" ht="30" customHeight="1" spans="1:6">
      <c r="A1532" s="9">
        <v>1529</v>
      </c>
      <c r="B1532" s="10" t="s">
        <v>1230</v>
      </c>
      <c r="C1532" s="10" t="s">
        <v>1231</v>
      </c>
      <c r="D1532" s="10" t="s">
        <v>1532</v>
      </c>
      <c r="E1532" s="10" t="str">
        <f>"644020240513143451175003"</f>
        <v>644020240513143451175003</v>
      </c>
      <c r="F1532" s="9"/>
    </row>
    <row r="1533" s="2" customFormat="1" ht="30" customHeight="1" spans="1:6">
      <c r="A1533" s="9">
        <v>1530</v>
      </c>
      <c r="B1533" s="10" t="s">
        <v>1230</v>
      </c>
      <c r="C1533" s="10" t="s">
        <v>1231</v>
      </c>
      <c r="D1533" s="10" t="s">
        <v>1533</v>
      </c>
      <c r="E1533" s="10" t="str">
        <f>"644020240513150020175188"</f>
        <v>644020240513150020175188</v>
      </c>
      <c r="F1533" s="9"/>
    </row>
    <row r="1534" s="2" customFormat="1" ht="30" customHeight="1" spans="1:6">
      <c r="A1534" s="9">
        <v>1531</v>
      </c>
      <c r="B1534" s="10" t="s">
        <v>1230</v>
      </c>
      <c r="C1534" s="10" t="s">
        <v>1231</v>
      </c>
      <c r="D1534" s="10" t="s">
        <v>1534</v>
      </c>
      <c r="E1534" s="10" t="str">
        <f>"644020240513145305175130"</f>
        <v>644020240513145305175130</v>
      </c>
      <c r="F1534" s="9"/>
    </row>
    <row r="1535" s="2" customFormat="1" ht="30" customHeight="1" spans="1:6">
      <c r="A1535" s="9">
        <v>1532</v>
      </c>
      <c r="B1535" s="10" t="s">
        <v>1230</v>
      </c>
      <c r="C1535" s="10" t="s">
        <v>1231</v>
      </c>
      <c r="D1535" s="10" t="s">
        <v>1535</v>
      </c>
      <c r="E1535" s="10" t="str">
        <f>"644020240513150206175201"</f>
        <v>644020240513150206175201</v>
      </c>
      <c r="F1535" s="9"/>
    </row>
    <row r="1536" s="2" customFormat="1" ht="30" customHeight="1" spans="1:6">
      <c r="A1536" s="9">
        <v>1533</v>
      </c>
      <c r="B1536" s="10" t="s">
        <v>1230</v>
      </c>
      <c r="C1536" s="10" t="s">
        <v>1231</v>
      </c>
      <c r="D1536" s="10" t="s">
        <v>1536</v>
      </c>
      <c r="E1536" s="10" t="str">
        <f>"644020240513151514175324"</f>
        <v>644020240513151514175324</v>
      </c>
      <c r="F1536" s="9"/>
    </row>
    <row r="1537" s="2" customFormat="1" ht="30" customHeight="1" spans="1:6">
      <c r="A1537" s="9">
        <v>1534</v>
      </c>
      <c r="B1537" s="10" t="s">
        <v>1230</v>
      </c>
      <c r="C1537" s="10" t="s">
        <v>1231</v>
      </c>
      <c r="D1537" s="10" t="s">
        <v>1537</v>
      </c>
      <c r="E1537" s="10" t="str">
        <f>"644020240512123012169119"</f>
        <v>644020240512123012169119</v>
      </c>
      <c r="F1537" s="9"/>
    </row>
    <row r="1538" s="2" customFormat="1" ht="30" customHeight="1" spans="1:6">
      <c r="A1538" s="9">
        <v>1535</v>
      </c>
      <c r="B1538" s="10" t="s">
        <v>1230</v>
      </c>
      <c r="C1538" s="10" t="s">
        <v>1231</v>
      </c>
      <c r="D1538" s="10" t="s">
        <v>1538</v>
      </c>
      <c r="E1538" s="10" t="str">
        <f>"644020240513151413175314"</f>
        <v>644020240513151413175314</v>
      </c>
      <c r="F1538" s="9"/>
    </row>
    <row r="1539" s="2" customFormat="1" ht="30" customHeight="1" spans="1:6">
      <c r="A1539" s="9">
        <v>1536</v>
      </c>
      <c r="B1539" s="10" t="s">
        <v>1230</v>
      </c>
      <c r="C1539" s="10" t="s">
        <v>1231</v>
      </c>
      <c r="D1539" s="10" t="s">
        <v>1539</v>
      </c>
      <c r="E1539" s="10" t="str">
        <f>"644020240512132206169330"</f>
        <v>644020240512132206169330</v>
      </c>
      <c r="F1539" s="9"/>
    </row>
    <row r="1540" s="2" customFormat="1" ht="30" customHeight="1" spans="1:6">
      <c r="A1540" s="9">
        <v>1537</v>
      </c>
      <c r="B1540" s="10" t="s">
        <v>1230</v>
      </c>
      <c r="C1540" s="10" t="s">
        <v>1231</v>
      </c>
      <c r="D1540" s="10" t="s">
        <v>1540</v>
      </c>
      <c r="E1540" s="10" t="str">
        <f>"644020240513151350175313"</f>
        <v>644020240513151350175313</v>
      </c>
      <c r="F1540" s="9"/>
    </row>
    <row r="1541" s="2" customFormat="1" ht="30" customHeight="1" spans="1:6">
      <c r="A1541" s="9">
        <v>1538</v>
      </c>
      <c r="B1541" s="10" t="s">
        <v>1230</v>
      </c>
      <c r="C1541" s="10" t="s">
        <v>1231</v>
      </c>
      <c r="D1541" s="10" t="s">
        <v>1541</v>
      </c>
      <c r="E1541" s="10" t="str">
        <f>"644020240513085849172469"</f>
        <v>644020240513085849172469</v>
      </c>
      <c r="F1541" s="9"/>
    </row>
    <row r="1542" s="2" customFormat="1" ht="30" customHeight="1" spans="1:6">
      <c r="A1542" s="9">
        <v>1539</v>
      </c>
      <c r="B1542" s="10" t="s">
        <v>1230</v>
      </c>
      <c r="C1542" s="10" t="s">
        <v>1231</v>
      </c>
      <c r="D1542" s="10" t="s">
        <v>1542</v>
      </c>
      <c r="E1542" s="10" t="str">
        <f>"644020240513090657172561"</f>
        <v>644020240513090657172561</v>
      </c>
      <c r="F1542" s="9"/>
    </row>
    <row r="1543" s="2" customFormat="1" ht="30" customHeight="1" spans="1:6">
      <c r="A1543" s="9">
        <v>1540</v>
      </c>
      <c r="B1543" s="10" t="s">
        <v>1230</v>
      </c>
      <c r="C1543" s="10" t="s">
        <v>1231</v>
      </c>
      <c r="D1543" s="10" t="s">
        <v>1543</v>
      </c>
      <c r="E1543" s="10" t="str">
        <f>"644020240513150535175232"</f>
        <v>644020240513150535175232</v>
      </c>
      <c r="F1543" s="9"/>
    </row>
    <row r="1544" s="2" customFormat="1" ht="30" customHeight="1" spans="1:6">
      <c r="A1544" s="9">
        <v>1541</v>
      </c>
      <c r="B1544" s="10" t="s">
        <v>1230</v>
      </c>
      <c r="C1544" s="10" t="s">
        <v>1231</v>
      </c>
      <c r="D1544" s="10" t="s">
        <v>1544</v>
      </c>
      <c r="E1544" s="10" t="str">
        <f>"644020240513151133175287"</f>
        <v>644020240513151133175287</v>
      </c>
      <c r="F1544" s="9"/>
    </row>
    <row r="1545" s="2" customFormat="1" ht="30" customHeight="1" spans="1:6">
      <c r="A1545" s="9">
        <v>1542</v>
      </c>
      <c r="B1545" s="10" t="s">
        <v>1230</v>
      </c>
      <c r="C1545" s="10" t="s">
        <v>1231</v>
      </c>
      <c r="D1545" s="10" t="s">
        <v>1545</v>
      </c>
      <c r="E1545" s="10" t="str">
        <f>"644020240513151524175325"</f>
        <v>644020240513151524175325</v>
      </c>
      <c r="F1545" s="9"/>
    </row>
    <row r="1546" s="2" customFormat="1" ht="30" customHeight="1" spans="1:6">
      <c r="A1546" s="9">
        <v>1543</v>
      </c>
      <c r="B1546" s="10" t="s">
        <v>1230</v>
      </c>
      <c r="C1546" s="10" t="s">
        <v>1231</v>
      </c>
      <c r="D1546" s="10" t="s">
        <v>1546</v>
      </c>
      <c r="E1546" s="10" t="str">
        <f>"644020240513154132175581"</f>
        <v>644020240513154132175581</v>
      </c>
      <c r="F1546" s="9"/>
    </row>
    <row r="1547" s="2" customFormat="1" ht="30" customHeight="1" spans="1:6">
      <c r="A1547" s="9">
        <v>1544</v>
      </c>
      <c r="B1547" s="10" t="s">
        <v>1230</v>
      </c>
      <c r="C1547" s="10" t="s">
        <v>1231</v>
      </c>
      <c r="D1547" s="10" t="s">
        <v>1547</v>
      </c>
      <c r="E1547" s="10" t="str">
        <f>"644020240513155413175733"</f>
        <v>644020240513155413175733</v>
      </c>
      <c r="F1547" s="9"/>
    </row>
    <row r="1548" s="2" customFormat="1" ht="30" customHeight="1" spans="1:6">
      <c r="A1548" s="9">
        <v>1545</v>
      </c>
      <c r="B1548" s="10" t="s">
        <v>1230</v>
      </c>
      <c r="C1548" s="10" t="s">
        <v>1231</v>
      </c>
      <c r="D1548" s="10" t="s">
        <v>1548</v>
      </c>
      <c r="E1548" s="10" t="str">
        <f>"644020240513121321174206"</f>
        <v>644020240513121321174206</v>
      </c>
      <c r="F1548" s="9"/>
    </row>
    <row r="1549" s="2" customFormat="1" ht="30" customHeight="1" spans="1:6">
      <c r="A1549" s="9">
        <v>1546</v>
      </c>
      <c r="B1549" s="10" t="s">
        <v>1230</v>
      </c>
      <c r="C1549" s="10" t="s">
        <v>1231</v>
      </c>
      <c r="D1549" s="10" t="s">
        <v>1549</v>
      </c>
      <c r="E1549" s="10" t="str">
        <f>"644020240513155905175773"</f>
        <v>644020240513155905175773</v>
      </c>
      <c r="F1549" s="9"/>
    </row>
    <row r="1550" s="2" customFormat="1" ht="30" customHeight="1" spans="1:6">
      <c r="A1550" s="9">
        <v>1547</v>
      </c>
      <c r="B1550" s="10" t="s">
        <v>1230</v>
      </c>
      <c r="C1550" s="10" t="s">
        <v>1231</v>
      </c>
      <c r="D1550" s="10" t="s">
        <v>1550</v>
      </c>
      <c r="E1550" s="10" t="str">
        <f>"644020240513151504175322"</f>
        <v>644020240513151504175322</v>
      </c>
      <c r="F1550" s="9"/>
    </row>
    <row r="1551" s="2" customFormat="1" ht="30" customHeight="1" spans="1:6">
      <c r="A1551" s="9">
        <v>1548</v>
      </c>
      <c r="B1551" s="10" t="s">
        <v>1230</v>
      </c>
      <c r="C1551" s="10" t="s">
        <v>1231</v>
      </c>
      <c r="D1551" s="10" t="s">
        <v>1551</v>
      </c>
      <c r="E1551" s="10" t="str">
        <f>"644020240512103123168570"</f>
        <v>644020240512103123168570</v>
      </c>
      <c r="F1551" s="9"/>
    </row>
    <row r="1552" s="2" customFormat="1" ht="30" customHeight="1" spans="1:6">
      <c r="A1552" s="9">
        <v>1549</v>
      </c>
      <c r="B1552" s="10" t="s">
        <v>1230</v>
      </c>
      <c r="C1552" s="10" t="s">
        <v>1231</v>
      </c>
      <c r="D1552" s="10" t="s">
        <v>1552</v>
      </c>
      <c r="E1552" s="10" t="str">
        <f>"644020240513152950175464"</f>
        <v>644020240513152950175464</v>
      </c>
      <c r="F1552" s="9"/>
    </row>
    <row r="1553" s="2" customFormat="1" ht="30" customHeight="1" spans="1:6">
      <c r="A1553" s="9">
        <v>1550</v>
      </c>
      <c r="B1553" s="10" t="s">
        <v>1230</v>
      </c>
      <c r="C1553" s="10" t="s">
        <v>1231</v>
      </c>
      <c r="D1553" s="10" t="s">
        <v>1553</v>
      </c>
      <c r="E1553" s="10" t="str">
        <f>"644020240513160312175795"</f>
        <v>644020240513160312175795</v>
      </c>
      <c r="F1553" s="9"/>
    </row>
    <row r="1554" s="2" customFormat="1" ht="30" customHeight="1" spans="1:6">
      <c r="A1554" s="9">
        <v>1551</v>
      </c>
      <c r="B1554" s="10" t="s">
        <v>1230</v>
      </c>
      <c r="C1554" s="10" t="s">
        <v>1231</v>
      </c>
      <c r="D1554" s="10" t="s">
        <v>1554</v>
      </c>
      <c r="E1554" s="10" t="str">
        <f>"644020240513160811175836"</f>
        <v>644020240513160811175836</v>
      </c>
      <c r="F1554" s="9"/>
    </row>
    <row r="1555" s="2" customFormat="1" ht="30" customHeight="1" spans="1:6">
      <c r="A1555" s="9">
        <v>1552</v>
      </c>
      <c r="B1555" s="10" t="s">
        <v>1230</v>
      </c>
      <c r="C1555" s="10" t="s">
        <v>1231</v>
      </c>
      <c r="D1555" s="10" t="s">
        <v>1555</v>
      </c>
      <c r="E1555" s="10" t="str">
        <f>"644020240513160127175789"</f>
        <v>644020240513160127175789</v>
      </c>
      <c r="F1555" s="9"/>
    </row>
    <row r="1556" s="2" customFormat="1" ht="30" customHeight="1" spans="1:6">
      <c r="A1556" s="9">
        <v>1553</v>
      </c>
      <c r="B1556" s="10" t="s">
        <v>1230</v>
      </c>
      <c r="C1556" s="10" t="s">
        <v>1231</v>
      </c>
      <c r="D1556" s="10" t="s">
        <v>1556</v>
      </c>
      <c r="E1556" s="10" t="str">
        <f>"644020240513091249172623"</f>
        <v>644020240513091249172623</v>
      </c>
      <c r="F1556" s="9"/>
    </row>
    <row r="1557" s="2" customFormat="1" ht="30" customHeight="1" spans="1:6">
      <c r="A1557" s="9">
        <v>1554</v>
      </c>
      <c r="B1557" s="10" t="s">
        <v>1230</v>
      </c>
      <c r="C1557" s="10" t="s">
        <v>1231</v>
      </c>
      <c r="D1557" s="10" t="s">
        <v>1557</v>
      </c>
      <c r="E1557" s="10" t="str">
        <f>"644020240513102920173414"</f>
        <v>644020240513102920173414</v>
      </c>
      <c r="F1557" s="9"/>
    </row>
    <row r="1558" s="2" customFormat="1" ht="30" customHeight="1" spans="1:6">
      <c r="A1558" s="9">
        <v>1555</v>
      </c>
      <c r="B1558" s="10" t="s">
        <v>1230</v>
      </c>
      <c r="C1558" s="10" t="s">
        <v>1231</v>
      </c>
      <c r="D1558" s="10" t="s">
        <v>1558</v>
      </c>
      <c r="E1558" s="10" t="str">
        <f>"644020240513155911175777"</f>
        <v>644020240513155911175777</v>
      </c>
      <c r="F1558" s="9"/>
    </row>
    <row r="1559" s="2" customFormat="1" ht="30" customHeight="1" spans="1:6">
      <c r="A1559" s="9">
        <v>1556</v>
      </c>
      <c r="B1559" s="10" t="s">
        <v>1230</v>
      </c>
      <c r="C1559" s="10" t="s">
        <v>1231</v>
      </c>
      <c r="D1559" s="10" t="s">
        <v>1559</v>
      </c>
      <c r="E1559" s="10" t="str">
        <f>"644020240513162002175891"</f>
        <v>644020240513162002175891</v>
      </c>
      <c r="F1559" s="9"/>
    </row>
    <row r="1560" s="2" customFormat="1" ht="30" customHeight="1" spans="1:6">
      <c r="A1560" s="9">
        <v>1557</v>
      </c>
      <c r="B1560" s="10" t="s">
        <v>1230</v>
      </c>
      <c r="C1560" s="10" t="s">
        <v>1231</v>
      </c>
      <c r="D1560" s="10" t="s">
        <v>1560</v>
      </c>
      <c r="E1560" s="10" t="str">
        <f>"644020240513161114175852"</f>
        <v>644020240513161114175852</v>
      </c>
      <c r="F1560" s="9"/>
    </row>
    <row r="1561" s="2" customFormat="1" ht="30" customHeight="1" spans="1:6">
      <c r="A1561" s="9">
        <v>1558</v>
      </c>
      <c r="B1561" s="10" t="s">
        <v>1230</v>
      </c>
      <c r="C1561" s="10" t="s">
        <v>1231</v>
      </c>
      <c r="D1561" s="10" t="s">
        <v>1561</v>
      </c>
      <c r="E1561" s="10" t="str">
        <f>"644020240513155713175754"</f>
        <v>644020240513155713175754</v>
      </c>
      <c r="F1561" s="9"/>
    </row>
    <row r="1562" s="2" customFormat="1" ht="30" customHeight="1" spans="1:6">
      <c r="A1562" s="9">
        <v>1559</v>
      </c>
      <c r="B1562" s="10" t="s">
        <v>1230</v>
      </c>
      <c r="C1562" s="10" t="s">
        <v>1231</v>
      </c>
      <c r="D1562" s="10" t="s">
        <v>1562</v>
      </c>
      <c r="E1562" s="10" t="str">
        <f>"644020240513160605175816"</f>
        <v>644020240513160605175816</v>
      </c>
      <c r="F1562" s="9"/>
    </row>
    <row r="1563" s="2" customFormat="1" ht="30" customHeight="1" spans="1:6">
      <c r="A1563" s="9">
        <v>1560</v>
      </c>
      <c r="B1563" s="10" t="s">
        <v>1230</v>
      </c>
      <c r="C1563" s="10" t="s">
        <v>1231</v>
      </c>
      <c r="D1563" s="10" t="s">
        <v>1563</v>
      </c>
      <c r="E1563" s="10" t="str">
        <f>"644020240512144609169593"</f>
        <v>644020240512144609169593</v>
      </c>
      <c r="F1563" s="9"/>
    </row>
    <row r="1564" s="2" customFormat="1" ht="30" customHeight="1" spans="1:6">
      <c r="A1564" s="9">
        <v>1561</v>
      </c>
      <c r="B1564" s="10" t="s">
        <v>1230</v>
      </c>
      <c r="C1564" s="10" t="s">
        <v>1231</v>
      </c>
      <c r="D1564" s="10" t="s">
        <v>1564</v>
      </c>
      <c r="E1564" s="10" t="str">
        <f>"644020240513162346175908"</f>
        <v>644020240513162346175908</v>
      </c>
      <c r="F1564" s="9"/>
    </row>
    <row r="1565" s="2" customFormat="1" ht="30" customHeight="1" spans="1:6">
      <c r="A1565" s="9">
        <v>1562</v>
      </c>
      <c r="B1565" s="10" t="s">
        <v>1230</v>
      </c>
      <c r="C1565" s="10" t="s">
        <v>1231</v>
      </c>
      <c r="D1565" s="10" t="s">
        <v>1565</v>
      </c>
      <c r="E1565" s="10" t="str">
        <f>"644020240513160721175826"</f>
        <v>644020240513160721175826</v>
      </c>
      <c r="F1565" s="9"/>
    </row>
    <row r="1566" s="2" customFormat="1" ht="30" customHeight="1" spans="1:6">
      <c r="A1566" s="9">
        <v>1563</v>
      </c>
      <c r="B1566" s="10" t="s">
        <v>1230</v>
      </c>
      <c r="C1566" s="10" t="s">
        <v>1231</v>
      </c>
      <c r="D1566" s="10" t="s">
        <v>1566</v>
      </c>
      <c r="E1566" s="10" t="str">
        <f>"644020240513115414174113"</f>
        <v>644020240513115414174113</v>
      </c>
      <c r="F1566" s="9"/>
    </row>
    <row r="1567" s="2" customFormat="1" ht="30" customHeight="1" spans="1:6">
      <c r="A1567" s="9">
        <v>1564</v>
      </c>
      <c r="B1567" s="10" t="s">
        <v>1230</v>
      </c>
      <c r="C1567" s="10" t="s">
        <v>1231</v>
      </c>
      <c r="D1567" s="10" t="s">
        <v>1567</v>
      </c>
      <c r="E1567" s="10" t="str">
        <f>"644020240513164230176011"</f>
        <v>644020240513164230176011</v>
      </c>
      <c r="F1567" s="9"/>
    </row>
    <row r="1568" s="2" customFormat="1" ht="30" customHeight="1" spans="1:6">
      <c r="A1568" s="9">
        <v>1565</v>
      </c>
      <c r="B1568" s="10" t="s">
        <v>1230</v>
      </c>
      <c r="C1568" s="10" t="s">
        <v>1231</v>
      </c>
      <c r="D1568" s="10" t="s">
        <v>1568</v>
      </c>
      <c r="E1568" s="10" t="str">
        <f>"644020240513154714175640"</f>
        <v>644020240513154714175640</v>
      </c>
      <c r="F1568" s="9"/>
    </row>
    <row r="1569" s="2" customFormat="1" ht="30" customHeight="1" spans="1:6">
      <c r="A1569" s="9">
        <v>1566</v>
      </c>
      <c r="B1569" s="10" t="s">
        <v>1230</v>
      </c>
      <c r="C1569" s="10" t="s">
        <v>1231</v>
      </c>
      <c r="D1569" s="10" t="s">
        <v>1569</v>
      </c>
      <c r="E1569" s="10" t="str">
        <f>"644020240513133904174704"</f>
        <v>644020240513133904174704</v>
      </c>
      <c r="F1569" s="9"/>
    </row>
    <row r="1570" s="2" customFormat="1" ht="30" customHeight="1" spans="1:6">
      <c r="A1570" s="9">
        <v>1567</v>
      </c>
      <c r="B1570" s="10" t="s">
        <v>1230</v>
      </c>
      <c r="C1570" s="10" t="s">
        <v>1231</v>
      </c>
      <c r="D1570" s="10" t="s">
        <v>1570</v>
      </c>
      <c r="E1570" s="10" t="str">
        <f>"644020240512101439168471"</f>
        <v>644020240512101439168471</v>
      </c>
      <c r="F1570" s="9"/>
    </row>
    <row r="1571" s="2" customFormat="1" ht="30" customHeight="1" spans="1:6">
      <c r="A1571" s="9">
        <v>1568</v>
      </c>
      <c r="B1571" s="10" t="s">
        <v>1230</v>
      </c>
      <c r="C1571" s="10" t="s">
        <v>1231</v>
      </c>
      <c r="D1571" s="10" t="s">
        <v>1571</v>
      </c>
      <c r="E1571" s="10" t="str">
        <f>"644020240513165425176067"</f>
        <v>644020240513165425176067</v>
      </c>
      <c r="F1571" s="9"/>
    </row>
    <row r="1572" s="2" customFormat="1" ht="30" customHeight="1" spans="1:6">
      <c r="A1572" s="9">
        <v>1569</v>
      </c>
      <c r="B1572" s="10" t="s">
        <v>1230</v>
      </c>
      <c r="C1572" s="10" t="s">
        <v>1231</v>
      </c>
      <c r="D1572" s="10" t="s">
        <v>1572</v>
      </c>
      <c r="E1572" s="10" t="str">
        <f>"644020240512215722171309"</f>
        <v>644020240512215722171309</v>
      </c>
      <c r="F1572" s="9"/>
    </row>
    <row r="1573" s="2" customFormat="1" ht="30" customHeight="1" spans="1:6">
      <c r="A1573" s="9">
        <v>1570</v>
      </c>
      <c r="B1573" s="10" t="s">
        <v>1230</v>
      </c>
      <c r="C1573" s="10" t="s">
        <v>1231</v>
      </c>
      <c r="D1573" s="10" t="s">
        <v>1573</v>
      </c>
      <c r="E1573" s="10" t="str">
        <f>"644020240513165529176071"</f>
        <v>644020240513165529176071</v>
      </c>
      <c r="F1573" s="9"/>
    </row>
    <row r="1574" s="2" customFormat="1" ht="30" customHeight="1" spans="1:6">
      <c r="A1574" s="9">
        <v>1571</v>
      </c>
      <c r="B1574" s="10" t="s">
        <v>1230</v>
      </c>
      <c r="C1574" s="10" t="s">
        <v>1231</v>
      </c>
      <c r="D1574" s="10" t="s">
        <v>1574</v>
      </c>
      <c r="E1574" s="10" t="str">
        <f>"644020240513102145173322"</f>
        <v>644020240513102145173322</v>
      </c>
      <c r="F1574" s="9"/>
    </row>
    <row r="1575" s="2" customFormat="1" ht="30" customHeight="1" spans="1:6">
      <c r="A1575" s="9">
        <v>1572</v>
      </c>
      <c r="B1575" s="10" t="s">
        <v>1230</v>
      </c>
      <c r="C1575" s="10" t="s">
        <v>1231</v>
      </c>
      <c r="D1575" s="10" t="s">
        <v>1575</v>
      </c>
      <c r="E1575" s="10" t="str">
        <f>"644020240513094933173012"</f>
        <v>644020240513094933173012</v>
      </c>
      <c r="F1575" s="9"/>
    </row>
    <row r="1576" s="2" customFormat="1" ht="30" customHeight="1" spans="1:6">
      <c r="A1576" s="9">
        <v>1573</v>
      </c>
      <c r="B1576" s="10" t="s">
        <v>1230</v>
      </c>
      <c r="C1576" s="10" t="s">
        <v>1231</v>
      </c>
      <c r="D1576" s="10" t="s">
        <v>1576</v>
      </c>
      <c r="E1576" s="10" t="str">
        <f>"644020240513160056175787"</f>
        <v>644020240513160056175787</v>
      </c>
      <c r="F1576" s="9"/>
    </row>
    <row r="1577" s="2" customFormat="1" ht="30" customHeight="1" spans="1:6">
      <c r="A1577" s="9">
        <v>1574</v>
      </c>
      <c r="B1577" s="10" t="s">
        <v>1230</v>
      </c>
      <c r="C1577" s="10" t="s">
        <v>1231</v>
      </c>
      <c r="D1577" s="10" t="s">
        <v>1577</v>
      </c>
      <c r="E1577" s="10" t="str">
        <f>"644020240513164829176040"</f>
        <v>644020240513164829176040</v>
      </c>
      <c r="F1577" s="9"/>
    </row>
    <row r="1578" s="2" customFormat="1" ht="30" customHeight="1" spans="1:6">
      <c r="A1578" s="9">
        <v>1575</v>
      </c>
      <c r="B1578" s="10" t="s">
        <v>1230</v>
      </c>
      <c r="C1578" s="10" t="s">
        <v>1231</v>
      </c>
      <c r="D1578" s="10" t="s">
        <v>1578</v>
      </c>
      <c r="E1578" s="10" t="str">
        <f>"644020240513163418175961"</f>
        <v>644020240513163418175961</v>
      </c>
      <c r="F1578" s="9"/>
    </row>
    <row r="1579" s="2" customFormat="1" ht="30" customHeight="1" spans="1:6">
      <c r="A1579" s="9">
        <v>1576</v>
      </c>
      <c r="B1579" s="10" t="s">
        <v>1230</v>
      </c>
      <c r="C1579" s="10" t="s">
        <v>1231</v>
      </c>
      <c r="D1579" s="10" t="s">
        <v>1579</v>
      </c>
      <c r="E1579" s="10" t="str">
        <f>"644020240513170133176097"</f>
        <v>644020240513170133176097</v>
      </c>
      <c r="F1579" s="9"/>
    </row>
    <row r="1580" s="2" customFormat="1" ht="30" customHeight="1" spans="1:6">
      <c r="A1580" s="9">
        <v>1577</v>
      </c>
      <c r="B1580" s="10" t="s">
        <v>1230</v>
      </c>
      <c r="C1580" s="10" t="s">
        <v>1231</v>
      </c>
      <c r="D1580" s="10" t="s">
        <v>1580</v>
      </c>
      <c r="E1580" s="10" t="str">
        <f>"644020240513170106176096"</f>
        <v>644020240513170106176096</v>
      </c>
      <c r="F1580" s="9"/>
    </row>
    <row r="1581" s="2" customFormat="1" ht="30" customHeight="1" spans="1:6">
      <c r="A1581" s="9">
        <v>1578</v>
      </c>
      <c r="B1581" s="10" t="s">
        <v>1230</v>
      </c>
      <c r="C1581" s="10" t="s">
        <v>1231</v>
      </c>
      <c r="D1581" s="10" t="s">
        <v>1581</v>
      </c>
      <c r="E1581" s="10" t="str">
        <f>"644020240513165610176075"</f>
        <v>644020240513165610176075</v>
      </c>
      <c r="F1581" s="9"/>
    </row>
    <row r="1582" s="2" customFormat="1" ht="30" customHeight="1" spans="1:6">
      <c r="A1582" s="9">
        <v>1579</v>
      </c>
      <c r="B1582" s="10" t="s">
        <v>1230</v>
      </c>
      <c r="C1582" s="10" t="s">
        <v>1231</v>
      </c>
      <c r="D1582" s="10" t="s">
        <v>1582</v>
      </c>
      <c r="E1582" s="10" t="str">
        <f>"644020240513170233176101"</f>
        <v>644020240513170233176101</v>
      </c>
      <c r="F1582" s="9"/>
    </row>
    <row r="1583" s="2" customFormat="1" ht="30" customHeight="1" spans="1:6">
      <c r="A1583" s="9">
        <v>1580</v>
      </c>
      <c r="B1583" s="10" t="s">
        <v>1230</v>
      </c>
      <c r="C1583" s="10" t="s">
        <v>1231</v>
      </c>
      <c r="D1583" s="10" t="s">
        <v>1583</v>
      </c>
      <c r="E1583" s="10" t="str">
        <f>"644020240513164422176016"</f>
        <v>644020240513164422176016</v>
      </c>
      <c r="F1583" s="9"/>
    </row>
    <row r="1584" s="2" customFormat="1" ht="30" customHeight="1" spans="1:6">
      <c r="A1584" s="9">
        <v>1581</v>
      </c>
      <c r="B1584" s="10" t="s">
        <v>1230</v>
      </c>
      <c r="C1584" s="10" t="s">
        <v>1231</v>
      </c>
      <c r="D1584" s="10" t="s">
        <v>1584</v>
      </c>
      <c r="E1584" s="10" t="str">
        <f>"644020240513171746176173"</f>
        <v>644020240513171746176173</v>
      </c>
      <c r="F1584" s="9"/>
    </row>
    <row r="1585" s="2" customFormat="1" ht="30" customHeight="1" spans="1:6">
      <c r="A1585" s="9">
        <v>1582</v>
      </c>
      <c r="B1585" s="10" t="s">
        <v>1230</v>
      </c>
      <c r="C1585" s="10" t="s">
        <v>1231</v>
      </c>
      <c r="D1585" s="10" t="s">
        <v>1585</v>
      </c>
      <c r="E1585" s="10" t="str">
        <f>"644020240513125420174479"</f>
        <v>644020240513125420174479</v>
      </c>
      <c r="F1585" s="9"/>
    </row>
    <row r="1586" s="2" customFormat="1" ht="30" customHeight="1" spans="1:6">
      <c r="A1586" s="9">
        <v>1583</v>
      </c>
      <c r="B1586" s="10" t="s">
        <v>1230</v>
      </c>
      <c r="C1586" s="10" t="s">
        <v>1231</v>
      </c>
      <c r="D1586" s="10" t="s">
        <v>1586</v>
      </c>
      <c r="E1586" s="10" t="str">
        <f>"644020240513172435176209"</f>
        <v>644020240513172435176209</v>
      </c>
      <c r="F1586" s="9"/>
    </row>
    <row r="1587" s="2" customFormat="1" ht="30" customHeight="1" spans="1:6">
      <c r="A1587" s="9">
        <v>1584</v>
      </c>
      <c r="B1587" s="10" t="s">
        <v>1230</v>
      </c>
      <c r="C1587" s="10" t="s">
        <v>1231</v>
      </c>
      <c r="D1587" s="10" t="s">
        <v>1587</v>
      </c>
      <c r="E1587" s="10" t="str">
        <f>"644020240513173136176238"</f>
        <v>644020240513173136176238</v>
      </c>
      <c r="F1587" s="9"/>
    </row>
    <row r="1588" s="2" customFormat="1" ht="30" customHeight="1" spans="1:6">
      <c r="A1588" s="9">
        <v>1585</v>
      </c>
      <c r="B1588" s="10" t="s">
        <v>1230</v>
      </c>
      <c r="C1588" s="10" t="s">
        <v>1231</v>
      </c>
      <c r="D1588" s="10" t="s">
        <v>1588</v>
      </c>
      <c r="E1588" s="10" t="str">
        <f>"644020240513162729175928"</f>
        <v>644020240513162729175928</v>
      </c>
      <c r="F1588" s="9"/>
    </row>
    <row r="1589" s="2" customFormat="1" ht="30" customHeight="1" spans="1:6">
      <c r="A1589" s="9">
        <v>1586</v>
      </c>
      <c r="B1589" s="10" t="s">
        <v>1230</v>
      </c>
      <c r="C1589" s="10" t="s">
        <v>1231</v>
      </c>
      <c r="D1589" s="10" t="s">
        <v>1589</v>
      </c>
      <c r="E1589" s="10" t="str">
        <f>"644020240513155412175732"</f>
        <v>644020240513155412175732</v>
      </c>
      <c r="F1589" s="9"/>
    </row>
    <row r="1590" s="2" customFormat="1" ht="30" customHeight="1" spans="1:6">
      <c r="A1590" s="9">
        <v>1587</v>
      </c>
      <c r="B1590" s="10" t="s">
        <v>1230</v>
      </c>
      <c r="C1590" s="10" t="s">
        <v>1231</v>
      </c>
      <c r="D1590" s="10" t="s">
        <v>1590</v>
      </c>
      <c r="E1590" s="10" t="str">
        <f>"644020240512201507170774"</f>
        <v>644020240512201507170774</v>
      </c>
      <c r="F1590" s="9"/>
    </row>
    <row r="1591" s="2" customFormat="1" ht="30" customHeight="1" spans="1:6">
      <c r="A1591" s="9">
        <v>1588</v>
      </c>
      <c r="B1591" s="10" t="s">
        <v>1230</v>
      </c>
      <c r="C1591" s="10" t="s">
        <v>1231</v>
      </c>
      <c r="D1591" s="10" t="s">
        <v>1591</v>
      </c>
      <c r="E1591" s="10" t="str">
        <f>"644020240513173628176263"</f>
        <v>644020240513173628176263</v>
      </c>
      <c r="F1591" s="9"/>
    </row>
    <row r="1592" s="2" customFormat="1" ht="30" customHeight="1" spans="1:6">
      <c r="A1592" s="9">
        <v>1589</v>
      </c>
      <c r="B1592" s="10" t="s">
        <v>1230</v>
      </c>
      <c r="C1592" s="10" t="s">
        <v>1231</v>
      </c>
      <c r="D1592" s="10" t="s">
        <v>1592</v>
      </c>
      <c r="E1592" s="10" t="str">
        <f>"644020240513093404172848"</f>
        <v>644020240513093404172848</v>
      </c>
      <c r="F1592" s="9"/>
    </row>
    <row r="1593" s="2" customFormat="1" ht="30" customHeight="1" spans="1:6">
      <c r="A1593" s="9">
        <v>1590</v>
      </c>
      <c r="B1593" s="10" t="s">
        <v>1230</v>
      </c>
      <c r="C1593" s="10" t="s">
        <v>1231</v>
      </c>
      <c r="D1593" s="10" t="s">
        <v>1593</v>
      </c>
      <c r="E1593" s="10" t="str">
        <f>"644020240512131148169287"</f>
        <v>644020240512131148169287</v>
      </c>
      <c r="F1593" s="9"/>
    </row>
    <row r="1594" s="2" customFormat="1" ht="30" customHeight="1" spans="1:6">
      <c r="A1594" s="9">
        <v>1591</v>
      </c>
      <c r="B1594" s="10" t="s">
        <v>1230</v>
      </c>
      <c r="C1594" s="10" t="s">
        <v>1231</v>
      </c>
      <c r="D1594" s="10" t="s">
        <v>1594</v>
      </c>
      <c r="E1594" s="10" t="str">
        <f>"644020240513171831176177"</f>
        <v>644020240513171831176177</v>
      </c>
      <c r="F1594" s="9"/>
    </row>
    <row r="1595" s="2" customFormat="1" ht="30" customHeight="1" spans="1:6">
      <c r="A1595" s="9">
        <v>1592</v>
      </c>
      <c r="B1595" s="10" t="s">
        <v>1230</v>
      </c>
      <c r="C1595" s="10" t="s">
        <v>1231</v>
      </c>
      <c r="D1595" s="10" t="s">
        <v>1595</v>
      </c>
      <c r="E1595" s="10" t="str">
        <f>"644020240513174050176281"</f>
        <v>644020240513174050176281</v>
      </c>
      <c r="F1595" s="9"/>
    </row>
    <row r="1596" s="2" customFormat="1" ht="30" customHeight="1" spans="1:6">
      <c r="A1596" s="9">
        <v>1593</v>
      </c>
      <c r="B1596" s="10" t="s">
        <v>1230</v>
      </c>
      <c r="C1596" s="10" t="s">
        <v>1231</v>
      </c>
      <c r="D1596" s="10" t="s">
        <v>1596</v>
      </c>
      <c r="E1596" s="10" t="str">
        <f>"644020240513174809176302"</f>
        <v>644020240513174809176302</v>
      </c>
      <c r="F1596" s="9"/>
    </row>
    <row r="1597" s="2" customFormat="1" ht="30" customHeight="1" spans="1:6">
      <c r="A1597" s="9">
        <v>1594</v>
      </c>
      <c r="B1597" s="10" t="s">
        <v>1230</v>
      </c>
      <c r="C1597" s="10" t="s">
        <v>1231</v>
      </c>
      <c r="D1597" s="10" t="s">
        <v>1597</v>
      </c>
      <c r="E1597" s="10" t="str">
        <f>"644020240513173855176272"</f>
        <v>644020240513173855176272</v>
      </c>
      <c r="F1597" s="9"/>
    </row>
    <row r="1598" s="2" customFormat="1" ht="30" customHeight="1" spans="1:6">
      <c r="A1598" s="9">
        <v>1595</v>
      </c>
      <c r="B1598" s="10" t="s">
        <v>1230</v>
      </c>
      <c r="C1598" s="10" t="s">
        <v>1231</v>
      </c>
      <c r="D1598" s="10" t="s">
        <v>1598</v>
      </c>
      <c r="E1598" s="10" t="str">
        <f>"644020240513075429172186"</f>
        <v>644020240513075429172186</v>
      </c>
      <c r="F1598" s="9"/>
    </row>
    <row r="1599" s="2" customFormat="1" ht="30" customHeight="1" spans="1:6">
      <c r="A1599" s="9">
        <v>1596</v>
      </c>
      <c r="B1599" s="10" t="s">
        <v>1230</v>
      </c>
      <c r="C1599" s="10" t="s">
        <v>1231</v>
      </c>
      <c r="D1599" s="10" t="s">
        <v>1599</v>
      </c>
      <c r="E1599" s="10" t="str">
        <f>"644020240513172418176206"</f>
        <v>644020240513172418176206</v>
      </c>
      <c r="F1599" s="9"/>
    </row>
    <row r="1600" s="2" customFormat="1" ht="30" customHeight="1" spans="1:6">
      <c r="A1600" s="9">
        <v>1597</v>
      </c>
      <c r="B1600" s="10" t="s">
        <v>1230</v>
      </c>
      <c r="C1600" s="10" t="s">
        <v>1231</v>
      </c>
      <c r="D1600" s="10" t="s">
        <v>1600</v>
      </c>
      <c r="E1600" s="10" t="str">
        <f>"644020240513163444175966"</f>
        <v>644020240513163444175966</v>
      </c>
      <c r="F1600" s="9"/>
    </row>
    <row r="1601" s="2" customFormat="1" ht="30" customHeight="1" spans="1:6">
      <c r="A1601" s="9">
        <v>1598</v>
      </c>
      <c r="B1601" s="10" t="s">
        <v>1230</v>
      </c>
      <c r="C1601" s="10" t="s">
        <v>1231</v>
      </c>
      <c r="D1601" s="10" t="s">
        <v>1601</v>
      </c>
      <c r="E1601" s="10" t="str">
        <f>"644020240513171101176147"</f>
        <v>644020240513171101176147</v>
      </c>
      <c r="F1601" s="9"/>
    </row>
    <row r="1602" s="2" customFormat="1" ht="30" customHeight="1" spans="1:6">
      <c r="A1602" s="9">
        <v>1599</v>
      </c>
      <c r="B1602" s="10" t="s">
        <v>1230</v>
      </c>
      <c r="C1602" s="10" t="s">
        <v>1231</v>
      </c>
      <c r="D1602" s="10" t="s">
        <v>1602</v>
      </c>
      <c r="E1602" s="10" t="str">
        <f>"644020240513112418173915"</f>
        <v>644020240513112418173915</v>
      </c>
      <c r="F1602" s="9"/>
    </row>
    <row r="1603" s="2" customFormat="1" ht="30" customHeight="1" spans="1:6">
      <c r="A1603" s="9">
        <v>1600</v>
      </c>
      <c r="B1603" s="10" t="s">
        <v>1230</v>
      </c>
      <c r="C1603" s="10" t="s">
        <v>1231</v>
      </c>
      <c r="D1603" s="10" t="s">
        <v>1603</v>
      </c>
      <c r="E1603" s="10" t="str">
        <f>"644020240513180816176366"</f>
        <v>644020240513180816176366</v>
      </c>
      <c r="F1603" s="9"/>
    </row>
    <row r="1604" s="2" customFormat="1" ht="30" customHeight="1" spans="1:6">
      <c r="A1604" s="9">
        <v>1601</v>
      </c>
      <c r="B1604" s="10" t="s">
        <v>1230</v>
      </c>
      <c r="C1604" s="10" t="s">
        <v>1231</v>
      </c>
      <c r="D1604" s="10" t="s">
        <v>1604</v>
      </c>
      <c r="E1604" s="10" t="str">
        <f>"644020240513180503176361"</f>
        <v>644020240513180503176361</v>
      </c>
      <c r="F1604" s="9"/>
    </row>
    <row r="1605" s="2" customFormat="1" ht="30" customHeight="1" spans="1:6">
      <c r="A1605" s="9">
        <v>1602</v>
      </c>
      <c r="B1605" s="10" t="s">
        <v>1230</v>
      </c>
      <c r="C1605" s="10" t="s">
        <v>1231</v>
      </c>
      <c r="D1605" s="10" t="s">
        <v>1605</v>
      </c>
      <c r="E1605" s="10" t="str">
        <f>"644020240513171526176166"</f>
        <v>644020240513171526176166</v>
      </c>
      <c r="F1605" s="9"/>
    </row>
    <row r="1606" s="2" customFormat="1" ht="30" customHeight="1" spans="1:6">
      <c r="A1606" s="9">
        <v>1603</v>
      </c>
      <c r="B1606" s="10" t="s">
        <v>1230</v>
      </c>
      <c r="C1606" s="10" t="s">
        <v>1231</v>
      </c>
      <c r="D1606" s="10" t="s">
        <v>1606</v>
      </c>
      <c r="E1606" s="10" t="str">
        <f>"644020240513163904175987"</f>
        <v>644020240513163904175987</v>
      </c>
      <c r="F1606" s="9"/>
    </row>
    <row r="1607" s="2" customFormat="1" ht="30" customHeight="1" spans="1:6">
      <c r="A1607" s="9">
        <v>1604</v>
      </c>
      <c r="B1607" s="10" t="s">
        <v>1230</v>
      </c>
      <c r="C1607" s="10" t="s">
        <v>1231</v>
      </c>
      <c r="D1607" s="10" t="s">
        <v>1607</v>
      </c>
      <c r="E1607" s="10" t="str">
        <f>"644020240513175654176329"</f>
        <v>644020240513175654176329</v>
      </c>
      <c r="F1607" s="9"/>
    </row>
    <row r="1608" s="2" customFormat="1" ht="30" customHeight="1" spans="1:6">
      <c r="A1608" s="9">
        <v>1605</v>
      </c>
      <c r="B1608" s="10" t="s">
        <v>1230</v>
      </c>
      <c r="C1608" s="10" t="s">
        <v>1231</v>
      </c>
      <c r="D1608" s="10" t="s">
        <v>1608</v>
      </c>
      <c r="E1608" s="10" t="str">
        <f>"644020240513182504176414"</f>
        <v>644020240513182504176414</v>
      </c>
      <c r="F1608" s="9"/>
    </row>
    <row r="1609" s="2" customFormat="1" ht="30" customHeight="1" spans="1:6">
      <c r="A1609" s="9">
        <v>1606</v>
      </c>
      <c r="B1609" s="10" t="s">
        <v>1230</v>
      </c>
      <c r="C1609" s="10" t="s">
        <v>1231</v>
      </c>
      <c r="D1609" s="10" t="s">
        <v>1609</v>
      </c>
      <c r="E1609" s="10" t="str">
        <f>"644020240513172007176188"</f>
        <v>644020240513172007176188</v>
      </c>
      <c r="F1609" s="9"/>
    </row>
    <row r="1610" s="2" customFormat="1" ht="30" customHeight="1" spans="1:6">
      <c r="A1610" s="9">
        <v>1607</v>
      </c>
      <c r="B1610" s="10" t="s">
        <v>1230</v>
      </c>
      <c r="C1610" s="10" t="s">
        <v>1231</v>
      </c>
      <c r="D1610" s="10" t="s">
        <v>1610</v>
      </c>
      <c r="E1610" s="10" t="str">
        <f>"644020240513182344176407"</f>
        <v>644020240513182344176407</v>
      </c>
      <c r="F1610" s="9"/>
    </row>
    <row r="1611" s="2" customFormat="1" ht="30" customHeight="1" spans="1:6">
      <c r="A1611" s="9">
        <v>1608</v>
      </c>
      <c r="B1611" s="10" t="s">
        <v>1230</v>
      </c>
      <c r="C1611" s="10" t="s">
        <v>1231</v>
      </c>
      <c r="D1611" s="10" t="s">
        <v>1611</v>
      </c>
      <c r="E1611" s="10" t="str">
        <f>"644020240513182529176415"</f>
        <v>644020240513182529176415</v>
      </c>
      <c r="F1611" s="9"/>
    </row>
    <row r="1612" s="2" customFormat="1" ht="30" customHeight="1" spans="1:6">
      <c r="A1612" s="9">
        <v>1609</v>
      </c>
      <c r="B1612" s="10" t="s">
        <v>1230</v>
      </c>
      <c r="C1612" s="10" t="s">
        <v>1231</v>
      </c>
      <c r="D1612" s="10" t="s">
        <v>1612</v>
      </c>
      <c r="E1612" s="10" t="str">
        <f>"644020240513182354176408"</f>
        <v>644020240513182354176408</v>
      </c>
      <c r="F1612" s="9"/>
    </row>
    <row r="1613" s="2" customFormat="1" ht="30" customHeight="1" spans="1:6">
      <c r="A1613" s="9">
        <v>1610</v>
      </c>
      <c r="B1613" s="10" t="s">
        <v>1230</v>
      </c>
      <c r="C1613" s="10" t="s">
        <v>1231</v>
      </c>
      <c r="D1613" s="10" t="s">
        <v>1613</v>
      </c>
      <c r="E1613" s="10" t="str">
        <f>"644020240512145406169630"</f>
        <v>644020240512145406169630</v>
      </c>
      <c r="F1613" s="9"/>
    </row>
    <row r="1614" s="2" customFormat="1" ht="30" customHeight="1" spans="1:6">
      <c r="A1614" s="9">
        <v>1611</v>
      </c>
      <c r="B1614" s="10" t="s">
        <v>1230</v>
      </c>
      <c r="C1614" s="10" t="s">
        <v>1231</v>
      </c>
      <c r="D1614" s="10" t="s">
        <v>1614</v>
      </c>
      <c r="E1614" s="10" t="str">
        <f>"644020240513182419176411"</f>
        <v>644020240513182419176411</v>
      </c>
      <c r="F1614" s="9"/>
    </row>
    <row r="1615" s="2" customFormat="1" ht="30" customHeight="1" spans="1:6">
      <c r="A1615" s="9">
        <v>1612</v>
      </c>
      <c r="B1615" s="10" t="s">
        <v>1230</v>
      </c>
      <c r="C1615" s="10" t="s">
        <v>1231</v>
      </c>
      <c r="D1615" s="10" t="s">
        <v>1615</v>
      </c>
      <c r="E1615" s="10" t="str">
        <f>"644020240513164614176031"</f>
        <v>644020240513164614176031</v>
      </c>
      <c r="F1615" s="9"/>
    </row>
    <row r="1616" s="2" customFormat="1" ht="30" customHeight="1" spans="1:6">
      <c r="A1616" s="9">
        <v>1613</v>
      </c>
      <c r="B1616" s="10" t="s">
        <v>1230</v>
      </c>
      <c r="C1616" s="10" t="s">
        <v>1231</v>
      </c>
      <c r="D1616" s="10" t="s">
        <v>1616</v>
      </c>
      <c r="E1616" s="10" t="str">
        <f>"644020240513191033176550"</f>
        <v>644020240513191033176550</v>
      </c>
      <c r="F1616" s="9"/>
    </row>
    <row r="1617" s="2" customFormat="1" ht="30" customHeight="1" spans="1:6">
      <c r="A1617" s="9">
        <v>1614</v>
      </c>
      <c r="B1617" s="10" t="s">
        <v>1230</v>
      </c>
      <c r="C1617" s="10" t="s">
        <v>1231</v>
      </c>
      <c r="D1617" s="10" t="s">
        <v>1617</v>
      </c>
      <c r="E1617" s="10" t="str">
        <f>"644020240513145902175174"</f>
        <v>644020240513145902175174</v>
      </c>
      <c r="F1617" s="9"/>
    </row>
    <row r="1618" s="2" customFormat="1" ht="30" customHeight="1" spans="1:6">
      <c r="A1618" s="9">
        <v>1615</v>
      </c>
      <c r="B1618" s="10" t="s">
        <v>1230</v>
      </c>
      <c r="C1618" s="10" t="s">
        <v>1231</v>
      </c>
      <c r="D1618" s="10" t="s">
        <v>1618</v>
      </c>
      <c r="E1618" s="10" t="str">
        <f>"644020240512102219168517"</f>
        <v>644020240512102219168517</v>
      </c>
      <c r="F1618" s="9"/>
    </row>
    <row r="1619" s="2" customFormat="1" ht="30" customHeight="1" spans="1:6">
      <c r="A1619" s="9">
        <v>1616</v>
      </c>
      <c r="B1619" s="10" t="s">
        <v>1230</v>
      </c>
      <c r="C1619" s="10" t="s">
        <v>1231</v>
      </c>
      <c r="D1619" s="10" t="s">
        <v>1619</v>
      </c>
      <c r="E1619" s="10" t="str">
        <f>"644020240512102628168542"</f>
        <v>644020240512102628168542</v>
      </c>
      <c r="F1619" s="9"/>
    </row>
    <row r="1620" s="2" customFormat="1" ht="30" customHeight="1" spans="1:6">
      <c r="A1620" s="9">
        <v>1617</v>
      </c>
      <c r="B1620" s="10" t="s">
        <v>1230</v>
      </c>
      <c r="C1620" s="10" t="s">
        <v>1231</v>
      </c>
      <c r="D1620" s="10" t="s">
        <v>1620</v>
      </c>
      <c r="E1620" s="10" t="str">
        <f>"644020240513093944172907"</f>
        <v>644020240513093944172907</v>
      </c>
      <c r="F1620" s="9"/>
    </row>
    <row r="1621" s="2" customFormat="1" ht="30" customHeight="1" spans="1:6">
      <c r="A1621" s="9">
        <v>1618</v>
      </c>
      <c r="B1621" s="10" t="s">
        <v>1230</v>
      </c>
      <c r="C1621" s="10" t="s">
        <v>1231</v>
      </c>
      <c r="D1621" s="10" t="s">
        <v>1621</v>
      </c>
      <c r="E1621" s="10" t="str">
        <f>"644020240512201955170798"</f>
        <v>644020240512201955170798</v>
      </c>
      <c r="F1621" s="9"/>
    </row>
    <row r="1622" s="2" customFormat="1" ht="30" customHeight="1" spans="1:6">
      <c r="A1622" s="9">
        <v>1619</v>
      </c>
      <c r="B1622" s="10" t="s">
        <v>1230</v>
      </c>
      <c r="C1622" s="10" t="s">
        <v>1231</v>
      </c>
      <c r="D1622" s="10" t="s">
        <v>1622</v>
      </c>
      <c r="E1622" s="10" t="str">
        <f>"644020240513190755176539"</f>
        <v>644020240513190755176539</v>
      </c>
      <c r="F1622" s="9"/>
    </row>
    <row r="1623" s="2" customFormat="1" ht="30" customHeight="1" spans="1:6">
      <c r="A1623" s="9">
        <v>1620</v>
      </c>
      <c r="B1623" s="10" t="s">
        <v>1230</v>
      </c>
      <c r="C1623" s="10" t="s">
        <v>1231</v>
      </c>
      <c r="D1623" s="10" t="s">
        <v>1623</v>
      </c>
      <c r="E1623" s="10" t="str">
        <f>"644020240513162546175916"</f>
        <v>644020240513162546175916</v>
      </c>
      <c r="F1623" s="9"/>
    </row>
    <row r="1624" s="2" customFormat="1" ht="30" customHeight="1" spans="1:6">
      <c r="A1624" s="9">
        <v>1621</v>
      </c>
      <c r="B1624" s="10" t="s">
        <v>1230</v>
      </c>
      <c r="C1624" s="10" t="s">
        <v>1231</v>
      </c>
      <c r="D1624" s="10" t="s">
        <v>1624</v>
      </c>
      <c r="E1624" s="10" t="str">
        <f>"644020240513110027173694"</f>
        <v>644020240513110027173694</v>
      </c>
      <c r="F1624" s="9"/>
    </row>
    <row r="1625" s="2" customFormat="1" ht="30" customHeight="1" spans="1:6">
      <c r="A1625" s="9">
        <v>1622</v>
      </c>
      <c r="B1625" s="10" t="s">
        <v>1230</v>
      </c>
      <c r="C1625" s="10" t="s">
        <v>1231</v>
      </c>
      <c r="D1625" s="10" t="s">
        <v>1625</v>
      </c>
      <c r="E1625" s="10" t="str">
        <f>"644020240513192211176582"</f>
        <v>644020240513192211176582</v>
      </c>
      <c r="F1625" s="9"/>
    </row>
    <row r="1626" s="2" customFormat="1" ht="30" customHeight="1" spans="1:6">
      <c r="A1626" s="9">
        <v>1623</v>
      </c>
      <c r="B1626" s="10" t="s">
        <v>1230</v>
      </c>
      <c r="C1626" s="10" t="s">
        <v>1231</v>
      </c>
      <c r="D1626" s="10" t="s">
        <v>1626</v>
      </c>
      <c r="E1626" s="10" t="str">
        <f>"644020240513193713176646"</f>
        <v>644020240513193713176646</v>
      </c>
      <c r="F1626" s="9"/>
    </row>
    <row r="1627" s="2" customFormat="1" ht="30" customHeight="1" spans="1:6">
      <c r="A1627" s="9">
        <v>1624</v>
      </c>
      <c r="B1627" s="10" t="s">
        <v>1230</v>
      </c>
      <c r="C1627" s="10" t="s">
        <v>1231</v>
      </c>
      <c r="D1627" s="10" t="s">
        <v>1627</v>
      </c>
      <c r="E1627" s="10" t="str">
        <f>"644020240513125746174501"</f>
        <v>644020240513125746174501</v>
      </c>
      <c r="F1627" s="9"/>
    </row>
    <row r="1628" s="2" customFormat="1" ht="30" customHeight="1" spans="1:6">
      <c r="A1628" s="9">
        <v>1625</v>
      </c>
      <c r="B1628" s="10" t="s">
        <v>1230</v>
      </c>
      <c r="C1628" s="10" t="s">
        <v>1231</v>
      </c>
      <c r="D1628" s="10" t="s">
        <v>1628</v>
      </c>
      <c r="E1628" s="10" t="str">
        <f>"644020240513185130176483"</f>
        <v>644020240513185130176483</v>
      </c>
      <c r="F1628" s="9"/>
    </row>
    <row r="1629" s="2" customFormat="1" ht="30" customHeight="1" spans="1:6">
      <c r="A1629" s="9">
        <v>1626</v>
      </c>
      <c r="B1629" s="10" t="s">
        <v>1230</v>
      </c>
      <c r="C1629" s="10" t="s">
        <v>1231</v>
      </c>
      <c r="D1629" s="10" t="s">
        <v>1629</v>
      </c>
      <c r="E1629" s="10" t="str">
        <f>"644020240513183444176439"</f>
        <v>644020240513183444176439</v>
      </c>
      <c r="F1629" s="9"/>
    </row>
    <row r="1630" s="2" customFormat="1" ht="30" customHeight="1" spans="1:6">
      <c r="A1630" s="9">
        <v>1627</v>
      </c>
      <c r="B1630" s="10" t="s">
        <v>1230</v>
      </c>
      <c r="C1630" s="10" t="s">
        <v>1231</v>
      </c>
      <c r="D1630" s="10" t="s">
        <v>1630</v>
      </c>
      <c r="E1630" s="10" t="str">
        <f>"644020240513192844176607"</f>
        <v>644020240513192844176607</v>
      </c>
      <c r="F1630" s="9"/>
    </row>
    <row r="1631" s="2" customFormat="1" ht="30" customHeight="1" spans="1:6">
      <c r="A1631" s="9">
        <v>1628</v>
      </c>
      <c r="B1631" s="10" t="s">
        <v>1230</v>
      </c>
      <c r="C1631" s="10" t="s">
        <v>1231</v>
      </c>
      <c r="D1631" s="10" t="s">
        <v>1631</v>
      </c>
      <c r="E1631" s="10" t="str">
        <f>"644020240513112417173914"</f>
        <v>644020240513112417173914</v>
      </c>
      <c r="F1631" s="9"/>
    </row>
    <row r="1632" s="2" customFormat="1" ht="30" customHeight="1" spans="1:6">
      <c r="A1632" s="9">
        <v>1629</v>
      </c>
      <c r="B1632" s="10" t="s">
        <v>1230</v>
      </c>
      <c r="C1632" s="10" t="s">
        <v>1231</v>
      </c>
      <c r="D1632" s="10" t="s">
        <v>1632</v>
      </c>
      <c r="E1632" s="10" t="str">
        <f>"644020240513125240174464"</f>
        <v>644020240513125240174464</v>
      </c>
      <c r="F1632" s="9"/>
    </row>
    <row r="1633" s="2" customFormat="1" ht="30" customHeight="1" spans="1:6">
      <c r="A1633" s="9">
        <v>1630</v>
      </c>
      <c r="B1633" s="10" t="s">
        <v>1230</v>
      </c>
      <c r="C1633" s="10" t="s">
        <v>1231</v>
      </c>
      <c r="D1633" s="10" t="s">
        <v>1633</v>
      </c>
      <c r="E1633" s="10" t="str">
        <f>"644020240513195531176711"</f>
        <v>644020240513195531176711</v>
      </c>
      <c r="F1633" s="9"/>
    </row>
    <row r="1634" s="2" customFormat="1" ht="30" customHeight="1" spans="1:6">
      <c r="A1634" s="9">
        <v>1631</v>
      </c>
      <c r="B1634" s="10" t="s">
        <v>1230</v>
      </c>
      <c r="C1634" s="10" t="s">
        <v>1231</v>
      </c>
      <c r="D1634" s="10" t="s">
        <v>1634</v>
      </c>
      <c r="E1634" s="10" t="str">
        <f>"644020240513092742172781"</f>
        <v>644020240513092742172781</v>
      </c>
      <c r="F1634" s="9"/>
    </row>
    <row r="1635" s="2" customFormat="1" ht="30" customHeight="1" spans="1:6">
      <c r="A1635" s="9">
        <v>1632</v>
      </c>
      <c r="B1635" s="10" t="s">
        <v>1230</v>
      </c>
      <c r="C1635" s="10" t="s">
        <v>1231</v>
      </c>
      <c r="D1635" s="10" t="s">
        <v>1635</v>
      </c>
      <c r="E1635" s="10" t="str">
        <f>"644020240513192504176595"</f>
        <v>644020240513192504176595</v>
      </c>
      <c r="F1635" s="9"/>
    </row>
    <row r="1636" s="2" customFormat="1" ht="30" customHeight="1" spans="1:6">
      <c r="A1636" s="9">
        <v>1633</v>
      </c>
      <c r="B1636" s="10" t="s">
        <v>1230</v>
      </c>
      <c r="C1636" s="10" t="s">
        <v>1231</v>
      </c>
      <c r="D1636" s="10" t="s">
        <v>1636</v>
      </c>
      <c r="E1636" s="10" t="str">
        <f>"644020240513192520176597"</f>
        <v>644020240513192520176597</v>
      </c>
      <c r="F1636" s="9"/>
    </row>
    <row r="1637" s="2" customFormat="1" ht="30" customHeight="1" spans="1:6">
      <c r="A1637" s="9">
        <v>1634</v>
      </c>
      <c r="B1637" s="10" t="s">
        <v>1230</v>
      </c>
      <c r="C1637" s="10" t="s">
        <v>1231</v>
      </c>
      <c r="D1637" s="10" t="s">
        <v>1637</v>
      </c>
      <c r="E1637" s="10" t="str">
        <f>"644020240513195021176692"</f>
        <v>644020240513195021176692</v>
      </c>
      <c r="F1637" s="9"/>
    </row>
    <row r="1638" s="2" customFormat="1" ht="30" customHeight="1" spans="1:6">
      <c r="A1638" s="9">
        <v>1635</v>
      </c>
      <c r="B1638" s="10" t="s">
        <v>1230</v>
      </c>
      <c r="C1638" s="10" t="s">
        <v>1231</v>
      </c>
      <c r="D1638" s="10" t="s">
        <v>1638</v>
      </c>
      <c r="E1638" s="10" t="str">
        <f>"644020240513200432176740"</f>
        <v>644020240513200432176740</v>
      </c>
      <c r="F1638" s="9"/>
    </row>
    <row r="1639" s="2" customFormat="1" ht="30" customHeight="1" spans="1:6">
      <c r="A1639" s="9">
        <v>1636</v>
      </c>
      <c r="B1639" s="10" t="s">
        <v>1230</v>
      </c>
      <c r="C1639" s="10" t="s">
        <v>1231</v>
      </c>
      <c r="D1639" s="10" t="s">
        <v>1639</v>
      </c>
      <c r="E1639" s="10" t="str">
        <f>"644020240513200708176748"</f>
        <v>644020240513200708176748</v>
      </c>
      <c r="F1639" s="9"/>
    </row>
    <row r="1640" s="2" customFormat="1" ht="30" customHeight="1" spans="1:6">
      <c r="A1640" s="9">
        <v>1637</v>
      </c>
      <c r="B1640" s="10" t="s">
        <v>1230</v>
      </c>
      <c r="C1640" s="10" t="s">
        <v>1231</v>
      </c>
      <c r="D1640" s="10" t="s">
        <v>1640</v>
      </c>
      <c r="E1640" s="10" t="str">
        <f>"644020240513195438176706"</f>
        <v>644020240513195438176706</v>
      </c>
      <c r="F1640" s="9"/>
    </row>
    <row r="1641" s="2" customFormat="1" ht="30" customHeight="1" spans="1:6">
      <c r="A1641" s="9">
        <v>1638</v>
      </c>
      <c r="B1641" s="10" t="s">
        <v>1230</v>
      </c>
      <c r="C1641" s="10" t="s">
        <v>1231</v>
      </c>
      <c r="D1641" s="10" t="s">
        <v>1641</v>
      </c>
      <c r="E1641" s="10" t="str">
        <f>"644020240513194640176677"</f>
        <v>644020240513194640176677</v>
      </c>
      <c r="F1641" s="9"/>
    </row>
    <row r="1642" s="2" customFormat="1" ht="30" customHeight="1" spans="1:6">
      <c r="A1642" s="9">
        <v>1639</v>
      </c>
      <c r="B1642" s="10" t="s">
        <v>1230</v>
      </c>
      <c r="C1642" s="10" t="s">
        <v>1231</v>
      </c>
      <c r="D1642" s="10" t="s">
        <v>1642</v>
      </c>
      <c r="E1642" s="10" t="str">
        <f>"644020240513161959175890"</f>
        <v>644020240513161959175890</v>
      </c>
      <c r="F1642" s="9"/>
    </row>
    <row r="1643" s="2" customFormat="1" ht="30" customHeight="1" spans="1:6">
      <c r="A1643" s="9">
        <v>1640</v>
      </c>
      <c r="B1643" s="10" t="s">
        <v>1230</v>
      </c>
      <c r="C1643" s="10" t="s">
        <v>1231</v>
      </c>
      <c r="D1643" s="10" t="s">
        <v>1643</v>
      </c>
      <c r="E1643" s="10" t="str">
        <f>"644020240513193917176650"</f>
        <v>644020240513193917176650</v>
      </c>
      <c r="F1643" s="9"/>
    </row>
    <row r="1644" s="2" customFormat="1" ht="30" customHeight="1" spans="1:6">
      <c r="A1644" s="9">
        <v>1641</v>
      </c>
      <c r="B1644" s="10" t="s">
        <v>1230</v>
      </c>
      <c r="C1644" s="10" t="s">
        <v>1231</v>
      </c>
      <c r="D1644" s="10" t="s">
        <v>1644</v>
      </c>
      <c r="E1644" s="10" t="str">
        <f>"644020240513140949174839"</f>
        <v>644020240513140949174839</v>
      </c>
      <c r="F1644" s="9"/>
    </row>
    <row r="1645" s="2" customFormat="1" ht="30" customHeight="1" spans="1:6">
      <c r="A1645" s="9">
        <v>1642</v>
      </c>
      <c r="B1645" s="10" t="s">
        <v>1230</v>
      </c>
      <c r="C1645" s="10" t="s">
        <v>1231</v>
      </c>
      <c r="D1645" s="10" t="s">
        <v>1645</v>
      </c>
      <c r="E1645" s="10" t="str">
        <f>"644020240513094110172920"</f>
        <v>644020240513094110172920</v>
      </c>
      <c r="F1645" s="9"/>
    </row>
    <row r="1646" s="2" customFormat="1" ht="30" customHeight="1" spans="1:6">
      <c r="A1646" s="9">
        <v>1643</v>
      </c>
      <c r="B1646" s="10" t="s">
        <v>1230</v>
      </c>
      <c r="C1646" s="10" t="s">
        <v>1231</v>
      </c>
      <c r="D1646" s="10" t="s">
        <v>1646</v>
      </c>
      <c r="E1646" s="10" t="str">
        <f>"644020240513200347176738"</f>
        <v>644020240513200347176738</v>
      </c>
      <c r="F1646" s="9"/>
    </row>
    <row r="1647" s="2" customFormat="1" ht="30" customHeight="1" spans="1:6">
      <c r="A1647" s="9">
        <v>1644</v>
      </c>
      <c r="B1647" s="10" t="s">
        <v>1230</v>
      </c>
      <c r="C1647" s="10" t="s">
        <v>1231</v>
      </c>
      <c r="D1647" s="10" t="s">
        <v>1647</v>
      </c>
      <c r="E1647" s="10" t="str">
        <f>"644020240512210236171004"</f>
        <v>644020240512210236171004</v>
      </c>
      <c r="F1647" s="9"/>
    </row>
    <row r="1648" s="2" customFormat="1" ht="30" customHeight="1" spans="1:6">
      <c r="A1648" s="9">
        <v>1645</v>
      </c>
      <c r="B1648" s="10" t="s">
        <v>1230</v>
      </c>
      <c r="C1648" s="10" t="s">
        <v>1231</v>
      </c>
      <c r="D1648" s="10" t="s">
        <v>1648</v>
      </c>
      <c r="E1648" s="10" t="str">
        <f>"644020240513155125175693"</f>
        <v>644020240513155125175693</v>
      </c>
      <c r="F1648" s="9"/>
    </row>
    <row r="1649" s="2" customFormat="1" ht="30" customHeight="1" spans="1:6">
      <c r="A1649" s="9">
        <v>1646</v>
      </c>
      <c r="B1649" s="10" t="s">
        <v>1230</v>
      </c>
      <c r="C1649" s="10" t="s">
        <v>1231</v>
      </c>
      <c r="D1649" s="10" t="s">
        <v>1649</v>
      </c>
      <c r="E1649" s="10" t="str">
        <f>"644020240513181350176384"</f>
        <v>644020240513181350176384</v>
      </c>
      <c r="F1649" s="9"/>
    </row>
    <row r="1650" s="2" customFormat="1" ht="30" customHeight="1" spans="1:6">
      <c r="A1650" s="9">
        <v>1647</v>
      </c>
      <c r="B1650" s="10" t="s">
        <v>1230</v>
      </c>
      <c r="C1650" s="10" t="s">
        <v>1231</v>
      </c>
      <c r="D1650" s="10" t="s">
        <v>1650</v>
      </c>
      <c r="E1650" s="10" t="str">
        <f>"644020240512215301171280"</f>
        <v>644020240512215301171280</v>
      </c>
      <c r="F1650" s="9"/>
    </row>
    <row r="1651" s="2" customFormat="1" ht="30" customHeight="1" spans="1:6">
      <c r="A1651" s="9">
        <v>1648</v>
      </c>
      <c r="B1651" s="10" t="s">
        <v>1230</v>
      </c>
      <c r="C1651" s="10" t="s">
        <v>1231</v>
      </c>
      <c r="D1651" s="10" t="s">
        <v>1651</v>
      </c>
      <c r="E1651" s="10" t="str">
        <f>"644020240513203808176870"</f>
        <v>644020240513203808176870</v>
      </c>
      <c r="F1651" s="9"/>
    </row>
    <row r="1652" s="2" customFormat="1" ht="30" customHeight="1" spans="1:6">
      <c r="A1652" s="9">
        <v>1649</v>
      </c>
      <c r="B1652" s="10" t="s">
        <v>1230</v>
      </c>
      <c r="C1652" s="10" t="s">
        <v>1231</v>
      </c>
      <c r="D1652" s="10" t="s">
        <v>1652</v>
      </c>
      <c r="E1652" s="10" t="str">
        <f>"644020240513010606172026"</f>
        <v>644020240513010606172026</v>
      </c>
      <c r="F1652" s="9"/>
    </row>
    <row r="1653" s="2" customFormat="1" ht="30" customHeight="1" spans="1:6">
      <c r="A1653" s="9">
        <v>1650</v>
      </c>
      <c r="B1653" s="10" t="s">
        <v>1230</v>
      </c>
      <c r="C1653" s="10" t="s">
        <v>1231</v>
      </c>
      <c r="D1653" s="10" t="s">
        <v>1653</v>
      </c>
      <c r="E1653" s="10" t="str">
        <f>"644020240513201657176783"</f>
        <v>644020240513201657176783</v>
      </c>
      <c r="F1653" s="9"/>
    </row>
    <row r="1654" s="2" customFormat="1" ht="30" customHeight="1" spans="1:6">
      <c r="A1654" s="9">
        <v>1651</v>
      </c>
      <c r="B1654" s="10" t="s">
        <v>1230</v>
      </c>
      <c r="C1654" s="10" t="s">
        <v>1231</v>
      </c>
      <c r="D1654" s="10" t="s">
        <v>1654</v>
      </c>
      <c r="E1654" s="10" t="str">
        <f>"644020240513203810176871"</f>
        <v>644020240513203810176871</v>
      </c>
      <c r="F1654" s="9"/>
    </row>
    <row r="1655" s="2" customFormat="1" ht="30" customHeight="1" spans="1:6">
      <c r="A1655" s="9">
        <v>1652</v>
      </c>
      <c r="B1655" s="10" t="s">
        <v>1230</v>
      </c>
      <c r="C1655" s="10" t="s">
        <v>1231</v>
      </c>
      <c r="D1655" s="10" t="s">
        <v>1655</v>
      </c>
      <c r="E1655" s="10" t="str">
        <f>"644020240513205012176916"</f>
        <v>644020240513205012176916</v>
      </c>
      <c r="F1655" s="9"/>
    </row>
    <row r="1656" s="2" customFormat="1" ht="30" customHeight="1" spans="1:6">
      <c r="A1656" s="9">
        <v>1653</v>
      </c>
      <c r="B1656" s="10" t="s">
        <v>1230</v>
      </c>
      <c r="C1656" s="10" t="s">
        <v>1231</v>
      </c>
      <c r="D1656" s="10" t="s">
        <v>1656</v>
      </c>
      <c r="E1656" s="10" t="str">
        <f>"644020240513193908176649"</f>
        <v>644020240513193908176649</v>
      </c>
      <c r="F1656" s="9"/>
    </row>
    <row r="1657" s="2" customFormat="1" ht="30" customHeight="1" spans="1:6">
      <c r="A1657" s="9">
        <v>1654</v>
      </c>
      <c r="B1657" s="10" t="s">
        <v>1230</v>
      </c>
      <c r="C1657" s="10" t="s">
        <v>1231</v>
      </c>
      <c r="D1657" s="10" t="s">
        <v>1657</v>
      </c>
      <c r="E1657" s="10" t="str">
        <f>"644020240513121153174198"</f>
        <v>644020240513121153174198</v>
      </c>
      <c r="F1657" s="9"/>
    </row>
    <row r="1658" s="2" customFormat="1" ht="30" customHeight="1" spans="1:6">
      <c r="A1658" s="9">
        <v>1655</v>
      </c>
      <c r="B1658" s="10" t="s">
        <v>1230</v>
      </c>
      <c r="C1658" s="10" t="s">
        <v>1231</v>
      </c>
      <c r="D1658" s="10" t="s">
        <v>1658</v>
      </c>
      <c r="E1658" s="10" t="str">
        <f>"644020240513205801176949"</f>
        <v>644020240513205801176949</v>
      </c>
      <c r="F1658" s="9"/>
    </row>
    <row r="1659" s="2" customFormat="1" ht="30" customHeight="1" spans="1:6">
      <c r="A1659" s="9">
        <v>1656</v>
      </c>
      <c r="B1659" s="10" t="s">
        <v>1230</v>
      </c>
      <c r="C1659" s="10" t="s">
        <v>1231</v>
      </c>
      <c r="D1659" s="10" t="s">
        <v>1659</v>
      </c>
      <c r="E1659" s="10" t="str">
        <f>"644020240513181457176388"</f>
        <v>644020240513181457176388</v>
      </c>
      <c r="F1659" s="9"/>
    </row>
    <row r="1660" s="2" customFormat="1" ht="30" customHeight="1" spans="1:6">
      <c r="A1660" s="9">
        <v>1657</v>
      </c>
      <c r="B1660" s="10" t="s">
        <v>1230</v>
      </c>
      <c r="C1660" s="10" t="s">
        <v>1231</v>
      </c>
      <c r="D1660" s="10" t="s">
        <v>1660</v>
      </c>
      <c r="E1660" s="10" t="str">
        <f>"644020240513211811177038"</f>
        <v>644020240513211811177038</v>
      </c>
      <c r="F1660" s="9"/>
    </row>
    <row r="1661" s="2" customFormat="1" ht="30" customHeight="1" spans="1:6">
      <c r="A1661" s="9">
        <v>1658</v>
      </c>
      <c r="B1661" s="10" t="s">
        <v>1230</v>
      </c>
      <c r="C1661" s="10" t="s">
        <v>1231</v>
      </c>
      <c r="D1661" s="10" t="s">
        <v>1661</v>
      </c>
      <c r="E1661" s="10" t="str">
        <f>"644020240513203715176863"</f>
        <v>644020240513203715176863</v>
      </c>
      <c r="F1661" s="9"/>
    </row>
    <row r="1662" s="2" customFormat="1" ht="30" customHeight="1" spans="1:6">
      <c r="A1662" s="9">
        <v>1659</v>
      </c>
      <c r="B1662" s="10" t="s">
        <v>1230</v>
      </c>
      <c r="C1662" s="10" t="s">
        <v>1231</v>
      </c>
      <c r="D1662" s="10" t="s">
        <v>1662</v>
      </c>
      <c r="E1662" s="10" t="str">
        <f>"644020240513211840177040"</f>
        <v>644020240513211840177040</v>
      </c>
      <c r="F1662" s="9"/>
    </row>
    <row r="1663" s="2" customFormat="1" ht="30" customHeight="1" spans="1:6">
      <c r="A1663" s="9">
        <v>1660</v>
      </c>
      <c r="B1663" s="10" t="s">
        <v>1230</v>
      </c>
      <c r="C1663" s="10" t="s">
        <v>1231</v>
      </c>
      <c r="D1663" s="10" t="s">
        <v>23</v>
      </c>
      <c r="E1663" s="10" t="str">
        <f>"644020240513190317176523"</f>
        <v>644020240513190317176523</v>
      </c>
      <c r="F1663" s="9"/>
    </row>
    <row r="1664" s="2" customFormat="1" ht="30" customHeight="1" spans="1:6">
      <c r="A1664" s="9">
        <v>1661</v>
      </c>
      <c r="B1664" s="10" t="s">
        <v>1230</v>
      </c>
      <c r="C1664" s="10" t="s">
        <v>1231</v>
      </c>
      <c r="D1664" s="10" t="s">
        <v>1663</v>
      </c>
      <c r="E1664" s="10" t="str">
        <f>"644020240512162524169983"</f>
        <v>644020240512162524169983</v>
      </c>
      <c r="F1664" s="9"/>
    </row>
    <row r="1665" s="2" customFormat="1" ht="30" customHeight="1" spans="1:6">
      <c r="A1665" s="9">
        <v>1662</v>
      </c>
      <c r="B1665" s="10" t="s">
        <v>1230</v>
      </c>
      <c r="C1665" s="10" t="s">
        <v>1231</v>
      </c>
      <c r="D1665" s="10" t="s">
        <v>1664</v>
      </c>
      <c r="E1665" s="10" t="str">
        <f>"644020240513212414177062"</f>
        <v>644020240513212414177062</v>
      </c>
      <c r="F1665" s="9"/>
    </row>
    <row r="1666" s="2" customFormat="1" ht="30" customHeight="1" spans="1:6">
      <c r="A1666" s="9">
        <v>1663</v>
      </c>
      <c r="B1666" s="10" t="s">
        <v>1230</v>
      </c>
      <c r="C1666" s="10" t="s">
        <v>1231</v>
      </c>
      <c r="D1666" s="10" t="s">
        <v>1665</v>
      </c>
      <c r="E1666" s="10" t="str">
        <f>"644020240513104503173553"</f>
        <v>644020240513104503173553</v>
      </c>
      <c r="F1666" s="9"/>
    </row>
    <row r="1667" s="2" customFormat="1" ht="30" customHeight="1" spans="1:6">
      <c r="A1667" s="9">
        <v>1664</v>
      </c>
      <c r="B1667" s="10" t="s">
        <v>1230</v>
      </c>
      <c r="C1667" s="10" t="s">
        <v>1231</v>
      </c>
      <c r="D1667" s="10" t="s">
        <v>1666</v>
      </c>
      <c r="E1667" s="10" t="str">
        <f>"644020240513210603176985"</f>
        <v>644020240513210603176985</v>
      </c>
      <c r="F1667" s="9"/>
    </row>
    <row r="1668" s="2" customFormat="1" ht="30" customHeight="1" spans="1:6">
      <c r="A1668" s="9">
        <v>1665</v>
      </c>
      <c r="B1668" s="10" t="s">
        <v>1230</v>
      </c>
      <c r="C1668" s="10" t="s">
        <v>1231</v>
      </c>
      <c r="D1668" s="10" t="s">
        <v>1667</v>
      </c>
      <c r="E1668" s="10" t="str">
        <f>"644020240512095214168334"</f>
        <v>644020240512095214168334</v>
      </c>
      <c r="F1668" s="9"/>
    </row>
    <row r="1669" s="2" customFormat="1" ht="30" customHeight="1" spans="1:6">
      <c r="A1669" s="9">
        <v>1666</v>
      </c>
      <c r="B1669" s="10" t="s">
        <v>1230</v>
      </c>
      <c r="C1669" s="10" t="s">
        <v>1231</v>
      </c>
      <c r="D1669" s="10" t="s">
        <v>1668</v>
      </c>
      <c r="E1669" s="10" t="str">
        <f>"644020240513213325177104"</f>
        <v>644020240513213325177104</v>
      </c>
      <c r="F1669" s="9"/>
    </row>
    <row r="1670" s="2" customFormat="1" ht="30" customHeight="1" spans="1:6">
      <c r="A1670" s="9">
        <v>1667</v>
      </c>
      <c r="B1670" s="10" t="s">
        <v>1230</v>
      </c>
      <c r="C1670" s="10" t="s">
        <v>1231</v>
      </c>
      <c r="D1670" s="10" t="s">
        <v>1669</v>
      </c>
      <c r="E1670" s="10" t="str">
        <f>"644020240513203431176849"</f>
        <v>644020240513203431176849</v>
      </c>
      <c r="F1670" s="9"/>
    </row>
    <row r="1671" s="2" customFormat="1" ht="30" customHeight="1" spans="1:6">
      <c r="A1671" s="9">
        <v>1668</v>
      </c>
      <c r="B1671" s="10" t="s">
        <v>1230</v>
      </c>
      <c r="C1671" s="10" t="s">
        <v>1231</v>
      </c>
      <c r="D1671" s="10" t="s">
        <v>1670</v>
      </c>
      <c r="E1671" s="10" t="str">
        <f>"644020240513212024177049"</f>
        <v>644020240513212024177049</v>
      </c>
      <c r="F1671" s="9"/>
    </row>
    <row r="1672" s="2" customFormat="1" ht="30" customHeight="1" spans="1:6">
      <c r="A1672" s="9">
        <v>1669</v>
      </c>
      <c r="B1672" s="10" t="s">
        <v>1230</v>
      </c>
      <c r="C1672" s="10" t="s">
        <v>1231</v>
      </c>
      <c r="D1672" s="10" t="s">
        <v>1671</v>
      </c>
      <c r="E1672" s="10" t="str">
        <f>"644020240513203924176876"</f>
        <v>644020240513203924176876</v>
      </c>
      <c r="F1672" s="9"/>
    </row>
    <row r="1673" s="2" customFormat="1" ht="30" customHeight="1" spans="1:6">
      <c r="A1673" s="9">
        <v>1670</v>
      </c>
      <c r="B1673" s="10" t="s">
        <v>1230</v>
      </c>
      <c r="C1673" s="10" t="s">
        <v>1231</v>
      </c>
      <c r="D1673" s="10" t="s">
        <v>1672</v>
      </c>
      <c r="E1673" s="10" t="str">
        <f>"644020240513214037177123"</f>
        <v>644020240513214037177123</v>
      </c>
      <c r="F1673" s="9"/>
    </row>
    <row r="1674" s="2" customFormat="1" ht="30" customHeight="1" spans="1:6">
      <c r="A1674" s="9">
        <v>1671</v>
      </c>
      <c r="B1674" s="10" t="s">
        <v>1230</v>
      </c>
      <c r="C1674" s="10" t="s">
        <v>1231</v>
      </c>
      <c r="D1674" s="10" t="s">
        <v>1673</v>
      </c>
      <c r="E1674" s="10" t="str">
        <f>"644020240512231750171769"</f>
        <v>644020240512231750171769</v>
      </c>
      <c r="F1674" s="9"/>
    </row>
    <row r="1675" s="2" customFormat="1" ht="30" customHeight="1" spans="1:6">
      <c r="A1675" s="9">
        <v>1672</v>
      </c>
      <c r="B1675" s="10" t="s">
        <v>1230</v>
      </c>
      <c r="C1675" s="10" t="s">
        <v>1231</v>
      </c>
      <c r="D1675" s="10" t="s">
        <v>1674</v>
      </c>
      <c r="E1675" s="10" t="str">
        <f>"644020240513211945177048"</f>
        <v>644020240513211945177048</v>
      </c>
      <c r="F1675" s="9"/>
    </row>
    <row r="1676" s="2" customFormat="1" ht="30" customHeight="1" spans="1:6">
      <c r="A1676" s="9">
        <v>1673</v>
      </c>
      <c r="B1676" s="10" t="s">
        <v>1230</v>
      </c>
      <c r="C1676" s="10" t="s">
        <v>1231</v>
      </c>
      <c r="D1676" s="10" t="s">
        <v>1675</v>
      </c>
      <c r="E1676" s="10" t="str">
        <f>"644020240513182023176401"</f>
        <v>644020240513182023176401</v>
      </c>
      <c r="F1676" s="9"/>
    </row>
    <row r="1677" s="2" customFormat="1" ht="30" customHeight="1" spans="1:6">
      <c r="A1677" s="9">
        <v>1674</v>
      </c>
      <c r="B1677" s="10" t="s">
        <v>1230</v>
      </c>
      <c r="C1677" s="10" t="s">
        <v>1231</v>
      </c>
      <c r="D1677" s="10" t="s">
        <v>1676</v>
      </c>
      <c r="E1677" s="10" t="str">
        <f>"644020240513103148173439"</f>
        <v>644020240513103148173439</v>
      </c>
      <c r="F1677" s="9"/>
    </row>
    <row r="1678" s="2" customFormat="1" ht="30" customHeight="1" spans="1:6">
      <c r="A1678" s="9">
        <v>1675</v>
      </c>
      <c r="B1678" s="10" t="s">
        <v>1230</v>
      </c>
      <c r="C1678" s="10" t="s">
        <v>1231</v>
      </c>
      <c r="D1678" s="10" t="s">
        <v>1677</v>
      </c>
      <c r="E1678" s="10" t="str">
        <f>"644020240513142819174965"</f>
        <v>644020240513142819174965</v>
      </c>
      <c r="F1678" s="9"/>
    </row>
    <row r="1679" s="2" customFormat="1" ht="30" customHeight="1" spans="1:6">
      <c r="A1679" s="9">
        <v>1676</v>
      </c>
      <c r="B1679" s="10" t="s">
        <v>1230</v>
      </c>
      <c r="C1679" s="10" t="s">
        <v>1231</v>
      </c>
      <c r="D1679" s="10" t="s">
        <v>1678</v>
      </c>
      <c r="E1679" s="10" t="str">
        <f>"644020240513214539177150"</f>
        <v>644020240513214539177150</v>
      </c>
      <c r="F1679" s="9"/>
    </row>
    <row r="1680" s="2" customFormat="1" ht="30" customHeight="1" spans="1:6">
      <c r="A1680" s="9">
        <v>1677</v>
      </c>
      <c r="B1680" s="10" t="s">
        <v>1230</v>
      </c>
      <c r="C1680" s="10" t="s">
        <v>1231</v>
      </c>
      <c r="D1680" s="10" t="s">
        <v>1679</v>
      </c>
      <c r="E1680" s="10" t="str">
        <f>"644020240513211344177016"</f>
        <v>644020240513211344177016</v>
      </c>
      <c r="F1680" s="9"/>
    </row>
    <row r="1681" s="2" customFormat="1" ht="30" customHeight="1" spans="1:6">
      <c r="A1681" s="9">
        <v>1678</v>
      </c>
      <c r="B1681" s="10" t="s">
        <v>1230</v>
      </c>
      <c r="C1681" s="10" t="s">
        <v>1231</v>
      </c>
      <c r="D1681" s="10" t="s">
        <v>1680</v>
      </c>
      <c r="E1681" s="10" t="str">
        <f>"644020240513213712177115"</f>
        <v>644020240513213712177115</v>
      </c>
      <c r="F1681" s="9"/>
    </row>
    <row r="1682" s="2" customFormat="1" ht="30" customHeight="1" spans="1:6">
      <c r="A1682" s="9">
        <v>1679</v>
      </c>
      <c r="B1682" s="10" t="s">
        <v>1230</v>
      </c>
      <c r="C1682" s="10" t="s">
        <v>1231</v>
      </c>
      <c r="D1682" s="10" t="s">
        <v>1681</v>
      </c>
      <c r="E1682" s="10" t="str">
        <f>"644020240513213100177098"</f>
        <v>644020240513213100177098</v>
      </c>
      <c r="F1682" s="9"/>
    </row>
    <row r="1683" s="2" customFormat="1" ht="30" customHeight="1" spans="1:6">
      <c r="A1683" s="9">
        <v>1680</v>
      </c>
      <c r="B1683" s="10" t="s">
        <v>1230</v>
      </c>
      <c r="C1683" s="10" t="s">
        <v>1231</v>
      </c>
      <c r="D1683" s="10" t="s">
        <v>568</v>
      </c>
      <c r="E1683" s="10" t="str">
        <f>"644020240512094202168292"</f>
        <v>644020240512094202168292</v>
      </c>
      <c r="F1683" s="9"/>
    </row>
    <row r="1684" s="2" customFormat="1" ht="30" customHeight="1" spans="1:6">
      <c r="A1684" s="9">
        <v>1681</v>
      </c>
      <c r="B1684" s="10" t="s">
        <v>1230</v>
      </c>
      <c r="C1684" s="10" t="s">
        <v>1231</v>
      </c>
      <c r="D1684" s="10" t="s">
        <v>1682</v>
      </c>
      <c r="E1684" s="10" t="str">
        <f>"644020240513211651177031"</f>
        <v>644020240513211651177031</v>
      </c>
      <c r="F1684" s="9"/>
    </row>
    <row r="1685" s="2" customFormat="1" ht="30" customHeight="1" spans="1:6">
      <c r="A1685" s="9">
        <v>1682</v>
      </c>
      <c r="B1685" s="10" t="s">
        <v>1230</v>
      </c>
      <c r="C1685" s="10" t="s">
        <v>1231</v>
      </c>
      <c r="D1685" s="10" t="s">
        <v>291</v>
      </c>
      <c r="E1685" s="10" t="str">
        <f>"644020240513214325177137"</f>
        <v>644020240513214325177137</v>
      </c>
      <c r="F1685" s="9"/>
    </row>
    <row r="1686" s="2" customFormat="1" ht="30" customHeight="1" spans="1:6">
      <c r="A1686" s="9">
        <v>1683</v>
      </c>
      <c r="B1686" s="10" t="s">
        <v>1230</v>
      </c>
      <c r="C1686" s="10" t="s">
        <v>1231</v>
      </c>
      <c r="D1686" s="10" t="s">
        <v>1683</v>
      </c>
      <c r="E1686" s="10" t="str">
        <f>"644020240512134646169421"</f>
        <v>644020240512134646169421</v>
      </c>
      <c r="F1686" s="9"/>
    </row>
    <row r="1687" s="2" customFormat="1" ht="30" customHeight="1" spans="1:6">
      <c r="A1687" s="9">
        <v>1684</v>
      </c>
      <c r="B1687" s="10" t="s">
        <v>1230</v>
      </c>
      <c r="C1687" s="10" t="s">
        <v>1231</v>
      </c>
      <c r="D1687" s="10" t="s">
        <v>1684</v>
      </c>
      <c r="E1687" s="10" t="str">
        <f>"644020240512221701171417"</f>
        <v>644020240512221701171417</v>
      </c>
      <c r="F1687" s="9"/>
    </row>
    <row r="1688" s="2" customFormat="1" ht="30" customHeight="1" spans="1:6">
      <c r="A1688" s="9">
        <v>1685</v>
      </c>
      <c r="B1688" s="10" t="s">
        <v>1230</v>
      </c>
      <c r="C1688" s="10" t="s">
        <v>1231</v>
      </c>
      <c r="D1688" s="10" t="s">
        <v>1685</v>
      </c>
      <c r="E1688" s="10" t="str">
        <f>"644020240513221030177277"</f>
        <v>644020240513221030177277</v>
      </c>
      <c r="F1688" s="9"/>
    </row>
    <row r="1689" s="2" customFormat="1" ht="30" customHeight="1" spans="1:6">
      <c r="A1689" s="9">
        <v>1686</v>
      </c>
      <c r="B1689" s="10" t="s">
        <v>1230</v>
      </c>
      <c r="C1689" s="10" t="s">
        <v>1231</v>
      </c>
      <c r="D1689" s="10" t="s">
        <v>1686</v>
      </c>
      <c r="E1689" s="10" t="str">
        <f>"644020240513091823172680"</f>
        <v>644020240513091823172680</v>
      </c>
      <c r="F1689" s="9"/>
    </row>
    <row r="1690" s="2" customFormat="1" ht="30" customHeight="1" spans="1:6">
      <c r="A1690" s="9">
        <v>1687</v>
      </c>
      <c r="B1690" s="10" t="s">
        <v>1230</v>
      </c>
      <c r="C1690" s="10" t="s">
        <v>1231</v>
      </c>
      <c r="D1690" s="10" t="s">
        <v>1687</v>
      </c>
      <c r="E1690" s="10" t="str">
        <f>"644020240512154049169804"</f>
        <v>644020240512154049169804</v>
      </c>
      <c r="F1690" s="9"/>
    </row>
    <row r="1691" s="2" customFormat="1" ht="30" customHeight="1" spans="1:6">
      <c r="A1691" s="9">
        <v>1688</v>
      </c>
      <c r="B1691" s="10" t="s">
        <v>1230</v>
      </c>
      <c r="C1691" s="10" t="s">
        <v>1231</v>
      </c>
      <c r="D1691" s="10" t="s">
        <v>1688</v>
      </c>
      <c r="E1691" s="10" t="str">
        <f>"644020240513221447177298"</f>
        <v>644020240513221447177298</v>
      </c>
      <c r="F1691" s="9"/>
    </row>
    <row r="1692" s="2" customFormat="1" ht="30" customHeight="1" spans="1:6">
      <c r="A1692" s="9">
        <v>1689</v>
      </c>
      <c r="B1692" s="10" t="s">
        <v>1230</v>
      </c>
      <c r="C1692" s="10" t="s">
        <v>1231</v>
      </c>
      <c r="D1692" s="10" t="s">
        <v>1689</v>
      </c>
      <c r="E1692" s="10" t="str">
        <f>"644020240512231707171767"</f>
        <v>644020240512231707171767</v>
      </c>
      <c r="F1692" s="9"/>
    </row>
    <row r="1693" s="2" customFormat="1" ht="30" customHeight="1" spans="1:6">
      <c r="A1693" s="9">
        <v>1690</v>
      </c>
      <c r="B1693" s="10" t="s">
        <v>1230</v>
      </c>
      <c r="C1693" s="10" t="s">
        <v>1231</v>
      </c>
      <c r="D1693" s="10" t="s">
        <v>1690</v>
      </c>
      <c r="E1693" s="10" t="str">
        <f>"644020240513215532177199"</f>
        <v>644020240513215532177199</v>
      </c>
      <c r="F1693" s="9"/>
    </row>
    <row r="1694" s="2" customFormat="1" ht="30" customHeight="1" spans="1:6">
      <c r="A1694" s="9">
        <v>1691</v>
      </c>
      <c r="B1694" s="10" t="s">
        <v>1230</v>
      </c>
      <c r="C1694" s="10" t="s">
        <v>1231</v>
      </c>
      <c r="D1694" s="10" t="s">
        <v>1691</v>
      </c>
      <c r="E1694" s="10" t="str">
        <f>"644020240513222047177327"</f>
        <v>644020240513222047177327</v>
      </c>
      <c r="F1694" s="9"/>
    </row>
    <row r="1695" s="2" customFormat="1" ht="30" customHeight="1" spans="1:6">
      <c r="A1695" s="9">
        <v>1692</v>
      </c>
      <c r="B1695" s="10" t="s">
        <v>1230</v>
      </c>
      <c r="C1695" s="10" t="s">
        <v>1231</v>
      </c>
      <c r="D1695" s="10" t="s">
        <v>1692</v>
      </c>
      <c r="E1695" s="10" t="str">
        <f>"644020240513222227177338"</f>
        <v>644020240513222227177338</v>
      </c>
      <c r="F1695" s="9"/>
    </row>
    <row r="1696" s="2" customFormat="1" ht="30" customHeight="1" spans="1:6">
      <c r="A1696" s="9">
        <v>1693</v>
      </c>
      <c r="B1696" s="10" t="s">
        <v>1230</v>
      </c>
      <c r="C1696" s="10" t="s">
        <v>1231</v>
      </c>
      <c r="D1696" s="10" t="s">
        <v>1693</v>
      </c>
      <c r="E1696" s="10" t="str">
        <f>"644020240513095150173038"</f>
        <v>644020240513095150173038</v>
      </c>
      <c r="F1696" s="9"/>
    </row>
    <row r="1697" s="2" customFormat="1" ht="30" customHeight="1" spans="1:6">
      <c r="A1697" s="9">
        <v>1694</v>
      </c>
      <c r="B1697" s="10" t="s">
        <v>1230</v>
      </c>
      <c r="C1697" s="10" t="s">
        <v>1231</v>
      </c>
      <c r="D1697" s="10" t="s">
        <v>1694</v>
      </c>
      <c r="E1697" s="10" t="str">
        <f>"644020240512123751169152"</f>
        <v>644020240512123751169152</v>
      </c>
      <c r="F1697" s="9"/>
    </row>
    <row r="1698" s="2" customFormat="1" ht="30" customHeight="1" spans="1:6">
      <c r="A1698" s="9">
        <v>1695</v>
      </c>
      <c r="B1698" s="10" t="s">
        <v>1230</v>
      </c>
      <c r="C1698" s="10" t="s">
        <v>1231</v>
      </c>
      <c r="D1698" s="10" t="s">
        <v>1695</v>
      </c>
      <c r="E1698" s="10" t="str">
        <f>"644020240513222504177342"</f>
        <v>644020240513222504177342</v>
      </c>
      <c r="F1698" s="9"/>
    </row>
    <row r="1699" s="2" customFormat="1" ht="30" customHeight="1" spans="1:6">
      <c r="A1699" s="9">
        <v>1696</v>
      </c>
      <c r="B1699" s="10" t="s">
        <v>1230</v>
      </c>
      <c r="C1699" s="10" t="s">
        <v>1231</v>
      </c>
      <c r="D1699" s="10" t="s">
        <v>1696</v>
      </c>
      <c r="E1699" s="10" t="str">
        <f>"644020240513214410177139"</f>
        <v>644020240513214410177139</v>
      </c>
      <c r="F1699" s="9"/>
    </row>
    <row r="1700" s="2" customFormat="1" ht="30" customHeight="1" spans="1:6">
      <c r="A1700" s="9">
        <v>1697</v>
      </c>
      <c r="B1700" s="10" t="s">
        <v>1230</v>
      </c>
      <c r="C1700" s="10" t="s">
        <v>1231</v>
      </c>
      <c r="D1700" s="10" t="s">
        <v>1697</v>
      </c>
      <c r="E1700" s="10" t="str">
        <f>"644020240513223314177375"</f>
        <v>644020240513223314177375</v>
      </c>
      <c r="F1700" s="9"/>
    </row>
    <row r="1701" s="2" customFormat="1" ht="30" customHeight="1" spans="1:6">
      <c r="A1701" s="9">
        <v>1698</v>
      </c>
      <c r="B1701" s="10" t="s">
        <v>1230</v>
      </c>
      <c r="C1701" s="10" t="s">
        <v>1231</v>
      </c>
      <c r="D1701" s="10" t="s">
        <v>1698</v>
      </c>
      <c r="E1701" s="10" t="str">
        <f>"644020240512224247171565"</f>
        <v>644020240512224247171565</v>
      </c>
      <c r="F1701" s="9"/>
    </row>
    <row r="1702" s="2" customFormat="1" ht="30" customHeight="1" spans="1:6">
      <c r="A1702" s="9">
        <v>1699</v>
      </c>
      <c r="B1702" s="10" t="s">
        <v>1230</v>
      </c>
      <c r="C1702" s="10" t="s">
        <v>1231</v>
      </c>
      <c r="D1702" s="10" t="s">
        <v>1699</v>
      </c>
      <c r="E1702" s="10" t="str">
        <f>"644020240513132215174625"</f>
        <v>644020240513132215174625</v>
      </c>
      <c r="F1702" s="9"/>
    </row>
    <row r="1703" s="2" customFormat="1" ht="30" customHeight="1" spans="1:6">
      <c r="A1703" s="9">
        <v>1700</v>
      </c>
      <c r="B1703" s="10" t="s">
        <v>1230</v>
      </c>
      <c r="C1703" s="10" t="s">
        <v>1231</v>
      </c>
      <c r="D1703" s="10" t="s">
        <v>1700</v>
      </c>
      <c r="E1703" s="10" t="str">
        <f>"644020240513221542177301"</f>
        <v>644020240513221542177301</v>
      </c>
      <c r="F1703" s="9"/>
    </row>
    <row r="1704" s="2" customFormat="1" ht="30" customHeight="1" spans="1:6">
      <c r="A1704" s="9">
        <v>1701</v>
      </c>
      <c r="B1704" s="10" t="s">
        <v>1230</v>
      </c>
      <c r="C1704" s="10" t="s">
        <v>1231</v>
      </c>
      <c r="D1704" s="10" t="s">
        <v>1701</v>
      </c>
      <c r="E1704" s="10" t="str">
        <f>"644020240513125141174455"</f>
        <v>644020240513125141174455</v>
      </c>
      <c r="F1704" s="9"/>
    </row>
    <row r="1705" s="2" customFormat="1" ht="30" customHeight="1" spans="1:6">
      <c r="A1705" s="9">
        <v>1702</v>
      </c>
      <c r="B1705" s="10" t="s">
        <v>1230</v>
      </c>
      <c r="C1705" s="10" t="s">
        <v>1231</v>
      </c>
      <c r="D1705" s="10" t="s">
        <v>1702</v>
      </c>
      <c r="E1705" s="10" t="str">
        <f>"644020240513224810177444"</f>
        <v>644020240513224810177444</v>
      </c>
      <c r="F1705" s="9"/>
    </row>
    <row r="1706" s="2" customFormat="1" ht="30" customHeight="1" spans="1:6">
      <c r="A1706" s="9">
        <v>1703</v>
      </c>
      <c r="B1706" s="10" t="s">
        <v>1230</v>
      </c>
      <c r="C1706" s="10" t="s">
        <v>1231</v>
      </c>
      <c r="D1706" s="10" t="s">
        <v>1703</v>
      </c>
      <c r="E1706" s="10" t="str">
        <f>"644020240512211405171067"</f>
        <v>644020240512211405171067</v>
      </c>
      <c r="F1706" s="9"/>
    </row>
    <row r="1707" s="2" customFormat="1" ht="30" customHeight="1" spans="1:6">
      <c r="A1707" s="9">
        <v>1704</v>
      </c>
      <c r="B1707" s="10" t="s">
        <v>1230</v>
      </c>
      <c r="C1707" s="10" t="s">
        <v>1231</v>
      </c>
      <c r="D1707" s="10" t="s">
        <v>1704</v>
      </c>
      <c r="E1707" s="10" t="str">
        <f>"644020240513141246174861"</f>
        <v>644020240513141246174861</v>
      </c>
      <c r="F1707" s="9"/>
    </row>
    <row r="1708" s="2" customFormat="1" ht="30" customHeight="1" spans="1:6">
      <c r="A1708" s="9">
        <v>1705</v>
      </c>
      <c r="B1708" s="10" t="s">
        <v>1230</v>
      </c>
      <c r="C1708" s="10" t="s">
        <v>1231</v>
      </c>
      <c r="D1708" s="10" t="s">
        <v>1705</v>
      </c>
      <c r="E1708" s="10" t="str">
        <f>"644020240513223315177376"</f>
        <v>644020240513223315177376</v>
      </c>
      <c r="F1708" s="9"/>
    </row>
    <row r="1709" s="2" customFormat="1" ht="30" customHeight="1" spans="1:6">
      <c r="A1709" s="9">
        <v>1706</v>
      </c>
      <c r="B1709" s="10" t="s">
        <v>1230</v>
      </c>
      <c r="C1709" s="10" t="s">
        <v>1231</v>
      </c>
      <c r="D1709" s="10" t="s">
        <v>1706</v>
      </c>
      <c r="E1709" s="10" t="str">
        <f>"644020240513211311177012"</f>
        <v>644020240513211311177012</v>
      </c>
      <c r="F1709" s="9"/>
    </row>
    <row r="1710" s="2" customFormat="1" ht="30" customHeight="1" spans="1:6">
      <c r="A1710" s="9">
        <v>1707</v>
      </c>
      <c r="B1710" s="10" t="s">
        <v>1230</v>
      </c>
      <c r="C1710" s="10" t="s">
        <v>1231</v>
      </c>
      <c r="D1710" s="10" t="s">
        <v>1707</v>
      </c>
      <c r="E1710" s="10" t="str">
        <f>"644020240513223558177389"</f>
        <v>644020240513223558177389</v>
      </c>
      <c r="F1710" s="9"/>
    </row>
    <row r="1711" s="2" customFormat="1" ht="30" customHeight="1" spans="1:6">
      <c r="A1711" s="9">
        <v>1708</v>
      </c>
      <c r="B1711" s="10" t="s">
        <v>1230</v>
      </c>
      <c r="C1711" s="10" t="s">
        <v>1231</v>
      </c>
      <c r="D1711" s="10" t="s">
        <v>1708</v>
      </c>
      <c r="E1711" s="10" t="str">
        <f>"644020240513225954177490"</f>
        <v>644020240513225954177490</v>
      </c>
      <c r="F1711" s="9"/>
    </row>
    <row r="1712" s="2" customFormat="1" ht="30" customHeight="1" spans="1:6">
      <c r="A1712" s="9">
        <v>1709</v>
      </c>
      <c r="B1712" s="10" t="s">
        <v>1230</v>
      </c>
      <c r="C1712" s="10" t="s">
        <v>1231</v>
      </c>
      <c r="D1712" s="10" t="s">
        <v>1709</v>
      </c>
      <c r="E1712" s="10" t="str">
        <f>"644020240513184336176458"</f>
        <v>644020240513184336176458</v>
      </c>
      <c r="F1712" s="9"/>
    </row>
    <row r="1713" s="2" customFormat="1" ht="30" customHeight="1" spans="1:6">
      <c r="A1713" s="9">
        <v>1710</v>
      </c>
      <c r="B1713" s="10" t="s">
        <v>1230</v>
      </c>
      <c r="C1713" s="10" t="s">
        <v>1231</v>
      </c>
      <c r="D1713" s="10" t="s">
        <v>1710</v>
      </c>
      <c r="E1713" s="10" t="str">
        <f>"644020240513223108177367"</f>
        <v>644020240513223108177367</v>
      </c>
      <c r="F1713" s="9"/>
    </row>
    <row r="1714" s="2" customFormat="1" ht="30" customHeight="1" spans="1:6">
      <c r="A1714" s="9">
        <v>1711</v>
      </c>
      <c r="B1714" s="10" t="s">
        <v>1230</v>
      </c>
      <c r="C1714" s="10" t="s">
        <v>1231</v>
      </c>
      <c r="D1714" s="10" t="s">
        <v>1711</v>
      </c>
      <c r="E1714" s="10" t="str">
        <f>"644020240512152405169742"</f>
        <v>644020240512152405169742</v>
      </c>
      <c r="F1714" s="9"/>
    </row>
    <row r="1715" s="2" customFormat="1" ht="30" customHeight="1" spans="1:6">
      <c r="A1715" s="9">
        <v>1712</v>
      </c>
      <c r="B1715" s="10" t="s">
        <v>1230</v>
      </c>
      <c r="C1715" s="10" t="s">
        <v>1231</v>
      </c>
      <c r="D1715" s="10" t="s">
        <v>1712</v>
      </c>
      <c r="E1715" s="10" t="str">
        <f>"644020240513225248177461"</f>
        <v>644020240513225248177461</v>
      </c>
      <c r="F1715" s="9"/>
    </row>
    <row r="1716" s="2" customFormat="1" ht="30" customHeight="1" spans="1:6">
      <c r="A1716" s="9">
        <v>1713</v>
      </c>
      <c r="B1716" s="10" t="s">
        <v>1230</v>
      </c>
      <c r="C1716" s="10" t="s">
        <v>1231</v>
      </c>
      <c r="D1716" s="10" t="s">
        <v>1713</v>
      </c>
      <c r="E1716" s="10" t="str">
        <f>"644020240513224658177436"</f>
        <v>644020240513224658177436</v>
      </c>
      <c r="F1716" s="9"/>
    </row>
    <row r="1717" s="2" customFormat="1" ht="30" customHeight="1" spans="1:6">
      <c r="A1717" s="9">
        <v>1714</v>
      </c>
      <c r="B1717" s="10" t="s">
        <v>1230</v>
      </c>
      <c r="C1717" s="10" t="s">
        <v>1231</v>
      </c>
      <c r="D1717" s="10" t="s">
        <v>1714</v>
      </c>
      <c r="E1717" s="10" t="str">
        <f>"644020240513120556174168"</f>
        <v>644020240513120556174168</v>
      </c>
      <c r="F1717" s="9"/>
    </row>
    <row r="1718" s="2" customFormat="1" ht="30" customHeight="1" spans="1:6">
      <c r="A1718" s="9">
        <v>1715</v>
      </c>
      <c r="B1718" s="10" t="s">
        <v>1230</v>
      </c>
      <c r="C1718" s="10" t="s">
        <v>1231</v>
      </c>
      <c r="D1718" s="10" t="s">
        <v>1715</v>
      </c>
      <c r="E1718" s="10" t="str">
        <f>"644020240513155533175745"</f>
        <v>644020240513155533175745</v>
      </c>
      <c r="F1718" s="9"/>
    </row>
    <row r="1719" s="2" customFormat="1" ht="30" customHeight="1" spans="1:6">
      <c r="A1719" s="9">
        <v>1716</v>
      </c>
      <c r="B1719" s="10" t="s">
        <v>1230</v>
      </c>
      <c r="C1719" s="10" t="s">
        <v>1231</v>
      </c>
      <c r="D1719" s="10" t="s">
        <v>1716</v>
      </c>
      <c r="E1719" s="10" t="str">
        <f>"644020240513225913177487"</f>
        <v>644020240513225913177487</v>
      </c>
      <c r="F1719" s="9"/>
    </row>
    <row r="1720" s="2" customFormat="1" ht="30" customHeight="1" spans="1:6">
      <c r="A1720" s="9">
        <v>1717</v>
      </c>
      <c r="B1720" s="10" t="s">
        <v>1230</v>
      </c>
      <c r="C1720" s="10" t="s">
        <v>1231</v>
      </c>
      <c r="D1720" s="10" t="s">
        <v>1717</v>
      </c>
      <c r="E1720" s="10" t="str">
        <f>"644020240513184535176463"</f>
        <v>644020240513184535176463</v>
      </c>
      <c r="F1720" s="9"/>
    </row>
    <row r="1721" s="2" customFormat="1" ht="30" customHeight="1" spans="1:6">
      <c r="A1721" s="9">
        <v>1718</v>
      </c>
      <c r="B1721" s="10" t="s">
        <v>1230</v>
      </c>
      <c r="C1721" s="10" t="s">
        <v>1231</v>
      </c>
      <c r="D1721" s="10" t="s">
        <v>1718</v>
      </c>
      <c r="E1721" s="10" t="str">
        <f>"644020240513230928177530"</f>
        <v>644020240513230928177530</v>
      </c>
      <c r="F1721" s="9"/>
    </row>
    <row r="1722" s="2" customFormat="1" ht="30" customHeight="1" spans="1:6">
      <c r="A1722" s="9">
        <v>1719</v>
      </c>
      <c r="B1722" s="10" t="s">
        <v>1230</v>
      </c>
      <c r="C1722" s="10" t="s">
        <v>1231</v>
      </c>
      <c r="D1722" s="10" t="s">
        <v>1719</v>
      </c>
      <c r="E1722" s="10" t="str">
        <f>"644020240513224450177426"</f>
        <v>644020240513224450177426</v>
      </c>
      <c r="F1722" s="9"/>
    </row>
    <row r="1723" s="2" customFormat="1" ht="30" customHeight="1" spans="1:6">
      <c r="A1723" s="9">
        <v>1720</v>
      </c>
      <c r="B1723" s="10" t="s">
        <v>1230</v>
      </c>
      <c r="C1723" s="10" t="s">
        <v>1231</v>
      </c>
      <c r="D1723" s="10" t="s">
        <v>1720</v>
      </c>
      <c r="E1723" s="10" t="str">
        <f>"644020240513222605177346"</f>
        <v>644020240513222605177346</v>
      </c>
      <c r="F1723" s="9"/>
    </row>
    <row r="1724" s="2" customFormat="1" ht="30" customHeight="1" spans="1:6">
      <c r="A1724" s="9">
        <v>1721</v>
      </c>
      <c r="B1724" s="10" t="s">
        <v>1230</v>
      </c>
      <c r="C1724" s="10" t="s">
        <v>1231</v>
      </c>
      <c r="D1724" s="10" t="s">
        <v>1721</v>
      </c>
      <c r="E1724" s="10" t="str">
        <f>"644020240513225420177468"</f>
        <v>644020240513225420177468</v>
      </c>
      <c r="F1724" s="9"/>
    </row>
    <row r="1725" s="2" customFormat="1" ht="30" customHeight="1" spans="1:6">
      <c r="A1725" s="9">
        <v>1722</v>
      </c>
      <c r="B1725" s="10" t="s">
        <v>1230</v>
      </c>
      <c r="C1725" s="10" t="s">
        <v>1231</v>
      </c>
      <c r="D1725" s="10" t="s">
        <v>1722</v>
      </c>
      <c r="E1725" s="10" t="str">
        <f>"644020240513223836177398"</f>
        <v>644020240513223836177398</v>
      </c>
      <c r="F1725" s="9"/>
    </row>
    <row r="1726" s="2" customFormat="1" ht="30" customHeight="1" spans="1:6">
      <c r="A1726" s="9">
        <v>1723</v>
      </c>
      <c r="B1726" s="10" t="s">
        <v>1230</v>
      </c>
      <c r="C1726" s="10" t="s">
        <v>1231</v>
      </c>
      <c r="D1726" s="10" t="s">
        <v>1723</v>
      </c>
      <c r="E1726" s="10" t="str">
        <f>"644020240513232019177554"</f>
        <v>644020240513232019177554</v>
      </c>
      <c r="F1726" s="9"/>
    </row>
    <row r="1727" s="2" customFormat="1" ht="30" customHeight="1" spans="1:6">
      <c r="A1727" s="9">
        <v>1724</v>
      </c>
      <c r="B1727" s="10" t="s">
        <v>1230</v>
      </c>
      <c r="C1727" s="10" t="s">
        <v>1231</v>
      </c>
      <c r="D1727" s="10" t="s">
        <v>1724</v>
      </c>
      <c r="E1727" s="10" t="str">
        <f>"644020240513232346177563"</f>
        <v>644020240513232346177563</v>
      </c>
      <c r="F1727" s="9"/>
    </row>
    <row r="1728" s="2" customFormat="1" ht="30" customHeight="1" spans="1:6">
      <c r="A1728" s="9">
        <v>1725</v>
      </c>
      <c r="B1728" s="10" t="s">
        <v>1230</v>
      </c>
      <c r="C1728" s="10" t="s">
        <v>1231</v>
      </c>
      <c r="D1728" s="10" t="s">
        <v>1725</v>
      </c>
      <c r="E1728" s="10" t="str">
        <f>"644020240513233136177586"</f>
        <v>644020240513233136177586</v>
      </c>
      <c r="F1728" s="9"/>
    </row>
    <row r="1729" s="2" customFormat="1" ht="30" customHeight="1" spans="1:6">
      <c r="A1729" s="9">
        <v>1726</v>
      </c>
      <c r="B1729" s="10" t="s">
        <v>1230</v>
      </c>
      <c r="C1729" s="10" t="s">
        <v>1231</v>
      </c>
      <c r="D1729" s="10" t="s">
        <v>1726</v>
      </c>
      <c r="E1729" s="10" t="str">
        <f>"644020240513230406177508"</f>
        <v>644020240513230406177508</v>
      </c>
      <c r="F1729" s="9"/>
    </row>
    <row r="1730" s="2" customFormat="1" ht="30" customHeight="1" spans="1:6">
      <c r="A1730" s="9">
        <v>1727</v>
      </c>
      <c r="B1730" s="10" t="s">
        <v>1230</v>
      </c>
      <c r="C1730" s="10" t="s">
        <v>1231</v>
      </c>
      <c r="D1730" s="10" t="s">
        <v>1727</v>
      </c>
      <c r="E1730" s="10" t="str">
        <f>"644020240512225833171663"</f>
        <v>644020240512225833171663</v>
      </c>
      <c r="F1730" s="9"/>
    </row>
    <row r="1731" s="2" customFormat="1" ht="30" customHeight="1" spans="1:6">
      <c r="A1731" s="9">
        <v>1728</v>
      </c>
      <c r="B1731" s="10" t="s">
        <v>1230</v>
      </c>
      <c r="C1731" s="10" t="s">
        <v>1231</v>
      </c>
      <c r="D1731" s="10" t="s">
        <v>1728</v>
      </c>
      <c r="E1731" s="10" t="str">
        <f>"644020240512164404170052"</f>
        <v>644020240512164404170052</v>
      </c>
      <c r="F1731" s="9"/>
    </row>
    <row r="1732" s="2" customFormat="1" ht="30" customHeight="1" spans="1:6">
      <c r="A1732" s="9">
        <v>1729</v>
      </c>
      <c r="B1732" s="10" t="s">
        <v>1230</v>
      </c>
      <c r="C1732" s="10" t="s">
        <v>1231</v>
      </c>
      <c r="D1732" s="10" t="s">
        <v>1729</v>
      </c>
      <c r="E1732" s="10" t="str">
        <f>"644020240513231147177537"</f>
        <v>644020240513231147177537</v>
      </c>
      <c r="F1732" s="9"/>
    </row>
    <row r="1733" s="2" customFormat="1" ht="30" customHeight="1" spans="1:6">
      <c r="A1733" s="9">
        <v>1730</v>
      </c>
      <c r="B1733" s="10" t="s">
        <v>1230</v>
      </c>
      <c r="C1733" s="10" t="s">
        <v>1231</v>
      </c>
      <c r="D1733" s="10" t="s">
        <v>1730</v>
      </c>
      <c r="E1733" s="10" t="str">
        <f>"644020240513195142176700"</f>
        <v>644020240513195142176700</v>
      </c>
      <c r="F1733" s="9"/>
    </row>
    <row r="1734" s="2" customFormat="1" ht="30" customHeight="1" spans="1:6">
      <c r="A1734" s="9">
        <v>1731</v>
      </c>
      <c r="B1734" s="10" t="s">
        <v>1230</v>
      </c>
      <c r="C1734" s="10" t="s">
        <v>1231</v>
      </c>
      <c r="D1734" s="10" t="s">
        <v>1731</v>
      </c>
      <c r="E1734" s="10" t="str">
        <f>"644020240512092157168203"</f>
        <v>644020240512092157168203</v>
      </c>
      <c r="F1734" s="9"/>
    </row>
    <row r="1735" s="2" customFormat="1" ht="30" customHeight="1" spans="1:6">
      <c r="A1735" s="9">
        <v>1732</v>
      </c>
      <c r="B1735" s="10" t="s">
        <v>1230</v>
      </c>
      <c r="C1735" s="10" t="s">
        <v>1231</v>
      </c>
      <c r="D1735" s="10" t="s">
        <v>1732</v>
      </c>
      <c r="E1735" s="10" t="str">
        <f>"644020240513235657177632"</f>
        <v>644020240513235657177632</v>
      </c>
      <c r="F1735" s="9"/>
    </row>
    <row r="1736" s="2" customFormat="1" ht="30" customHeight="1" spans="1:6">
      <c r="A1736" s="9">
        <v>1733</v>
      </c>
      <c r="B1736" s="10" t="s">
        <v>1230</v>
      </c>
      <c r="C1736" s="10" t="s">
        <v>1231</v>
      </c>
      <c r="D1736" s="10" t="s">
        <v>1733</v>
      </c>
      <c r="E1736" s="10" t="str">
        <f>"644020240513231020177533"</f>
        <v>644020240513231020177533</v>
      </c>
      <c r="F1736" s="9"/>
    </row>
    <row r="1737" s="2" customFormat="1" ht="30" customHeight="1" spans="1:6">
      <c r="A1737" s="9">
        <v>1734</v>
      </c>
      <c r="B1737" s="10" t="s">
        <v>1230</v>
      </c>
      <c r="C1737" s="10" t="s">
        <v>1231</v>
      </c>
      <c r="D1737" s="10" t="s">
        <v>1734</v>
      </c>
      <c r="E1737" s="10" t="str">
        <f>"644020240513104126173520"</f>
        <v>644020240513104126173520</v>
      </c>
      <c r="F1737" s="9"/>
    </row>
    <row r="1738" s="2" customFormat="1" ht="30" customHeight="1" spans="1:6">
      <c r="A1738" s="9">
        <v>1735</v>
      </c>
      <c r="B1738" s="10" t="s">
        <v>1230</v>
      </c>
      <c r="C1738" s="10" t="s">
        <v>1231</v>
      </c>
      <c r="D1738" s="10" t="s">
        <v>1735</v>
      </c>
      <c r="E1738" s="10" t="str">
        <f>"644020240513182743176420"</f>
        <v>644020240513182743176420</v>
      </c>
      <c r="F1738" s="9"/>
    </row>
    <row r="1739" s="2" customFormat="1" ht="30" customHeight="1" spans="1:6">
      <c r="A1739" s="9">
        <v>1736</v>
      </c>
      <c r="B1739" s="10" t="s">
        <v>1230</v>
      </c>
      <c r="C1739" s="10" t="s">
        <v>1231</v>
      </c>
      <c r="D1739" s="10" t="s">
        <v>1736</v>
      </c>
      <c r="E1739" s="10" t="str">
        <f>"644020240513094346172947"</f>
        <v>644020240513094346172947</v>
      </c>
      <c r="F1739" s="9"/>
    </row>
    <row r="1740" s="2" customFormat="1" ht="30" customHeight="1" spans="1:6">
      <c r="A1740" s="9">
        <v>1737</v>
      </c>
      <c r="B1740" s="10" t="s">
        <v>1230</v>
      </c>
      <c r="C1740" s="10" t="s">
        <v>1231</v>
      </c>
      <c r="D1740" s="10" t="s">
        <v>1737</v>
      </c>
      <c r="E1740" s="10" t="str">
        <f>"644020240514011806177728"</f>
        <v>644020240514011806177728</v>
      </c>
      <c r="F1740" s="9"/>
    </row>
    <row r="1741" s="2" customFormat="1" ht="30" customHeight="1" spans="1:6">
      <c r="A1741" s="9">
        <v>1738</v>
      </c>
      <c r="B1741" s="10" t="s">
        <v>1230</v>
      </c>
      <c r="C1741" s="10" t="s">
        <v>1231</v>
      </c>
      <c r="D1741" s="10" t="s">
        <v>1738</v>
      </c>
      <c r="E1741" s="10" t="str">
        <f>"644020240514071818177780"</f>
        <v>644020240514071818177780</v>
      </c>
      <c r="F1741" s="9"/>
    </row>
    <row r="1742" s="2" customFormat="1" ht="30" customHeight="1" spans="1:6">
      <c r="A1742" s="9">
        <v>1739</v>
      </c>
      <c r="B1742" s="10" t="s">
        <v>1230</v>
      </c>
      <c r="C1742" s="10" t="s">
        <v>1231</v>
      </c>
      <c r="D1742" s="10" t="s">
        <v>1739</v>
      </c>
      <c r="E1742" s="10" t="str">
        <f>"644020240513051003172091"</f>
        <v>644020240513051003172091</v>
      </c>
      <c r="F1742" s="9"/>
    </row>
    <row r="1743" s="2" customFormat="1" ht="30" customHeight="1" spans="1:6">
      <c r="A1743" s="9">
        <v>1740</v>
      </c>
      <c r="B1743" s="10" t="s">
        <v>1230</v>
      </c>
      <c r="C1743" s="10" t="s">
        <v>1231</v>
      </c>
      <c r="D1743" s="10" t="s">
        <v>1740</v>
      </c>
      <c r="E1743" s="10" t="str">
        <f>"644020240514081117177818"</f>
        <v>644020240514081117177818</v>
      </c>
      <c r="F1743" s="9"/>
    </row>
    <row r="1744" s="2" customFormat="1" ht="30" customHeight="1" spans="1:6">
      <c r="A1744" s="9">
        <v>1741</v>
      </c>
      <c r="B1744" s="10" t="s">
        <v>1230</v>
      </c>
      <c r="C1744" s="10" t="s">
        <v>1231</v>
      </c>
      <c r="D1744" s="10" t="s">
        <v>1741</v>
      </c>
      <c r="E1744" s="10" t="str">
        <f>"644020240514082701177853"</f>
        <v>644020240514082701177853</v>
      </c>
      <c r="F1744" s="9"/>
    </row>
    <row r="1745" s="2" customFormat="1" ht="30" customHeight="1" spans="1:6">
      <c r="A1745" s="9">
        <v>1742</v>
      </c>
      <c r="B1745" s="10" t="s">
        <v>1230</v>
      </c>
      <c r="C1745" s="10" t="s">
        <v>1231</v>
      </c>
      <c r="D1745" s="10" t="s">
        <v>1742</v>
      </c>
      <c r="E1745" s="10" t="str">
        <f>"644020240514083101177860"</f>
        <v>644020240514083101177860</v>
      </c>
      <c r="F1745" s="9"/>
    </row>
    <row r="1746" s="2" customFormat="1" ht="30" customHeight="1" spans="1:6">
      <c r="A1746" s="9">
        <v>1743</v>
      </c>
      <c r="B1746" s="10" t="s">
        <v>1230</v>
      </c>
      <c r="C1746" s="10" t="s">
        <v>1231</v>
      </c>
      <c r="D1746" s="10" t="s">
        <v>1743</v>
      </c>
      <c r="E1746" s="10" t="str">
        <f>"644020240514082314177842"</f>
        <v>644020240514082314177842</v>
      </c>
      <c r="F1746" s="9"/>
    </row>
    <row r="1747" s="2" customFormat="1" ht="30" customHeight="1" spans="1:6">
      <c r="A1747" s="9">
        <v>1744</v>
      </c>
      <c r="B1747" s="10" t="s">
        <v>1230</v>
      </c>
      <c r="C1747" s="10" t="s">
        <v>1231</v>
      </c>
      <c r="D1747" s="10" t="s">
        <v>1744</v>
      </c>
      <c r="E1747" s="10" t="str">
        <f>"644020240514084545177904"</f>
        <v>644020240514084545177904</v>
      </c>
      <c r="F1747" s="9"/>
    </row>
    <row r="1748" s="2" customFormat="1" ht="30" customHeight="1" spans="1:6">
      <c r="A1748" s="9">
        <v>1745</v>
      </c>
      <c r="B1748" s="10" t="s">
        <v>1230</v>
      </c>
      <c r="C1748" s="10" t="s">
        <v>1231</v>
      </c>
      <c r="D1748" s="10" t="s">
        <v>1745</v>
      </c>
      <c r="E1748" s="10" t="str">
        <f>"644020240513152206175392"</f>
        <v>644020240513152206175392</v>
      </c>
      <c r="F1748" s="9"/>
    </row>
    <row r="1749" s="2" customFormat="1" ht="30" customHeight="1" spans="1:6">
      <c r="A1749" s="9">
        <v>1746</v>
      </c>
      <c r="B1749" s="10" t="s">
        <v>1230</v>
      </c>
      <c r="C1749" s="10" t="s">
        <v>1231</v>
      </c>
      <c r="D1749" s="10" t="s">
        <v>1746</v>
      </c>
      <c r="E1749" s="10" t="str">
        <f>"644020240513172211176200"</f>
        <v>644020240513172211176200</v>
      </c>
      <c r="F1749" s="9"/>
    </row>
    <row r="1750" s="2" customFormat="1" ht="30" customHeight="1" spans="1:6">
      <c r="A1750" s="9">
        <v>1747</v>
      </c>
      <c r="B1750" s="10" t="s">
        <v>1230</v>
      </c>
      <c r="C1750" s="10" t="s">
        <v>1231</v>
      </c>
      <c r="D1750" s="10" t="s">
        <v>1747</v>
      </c>
      <c r="E1750" s="10" t="str">
        <f>"644020240513231936177552"</f>
        <v>644020240513231936177552</v>
      </c>
      <c r="F1750" s="9"/>
    </row>
    <row r="1751" s="2" customFormat="1" ht="30" customHeight="1" spans="1:6">
      <c r="A1751" s="9">
        <v>1748</v>
      </c>
      <c r="B1751" s="10" t="s">
        <v>1230</v>
      </c>
      <c r="C1751" s="10" t="s">
        <v>1231</v>
      </c>
      <c r="D1751" s="10" t="s">
        <v>1748</v>
      </c>
      <c r="E1751" s="10" t="str">
        <f>"644020240514084324177894"</f>
        <v>644020240514084324177894</v>
      </c>
      <c r="F1751" s="9"/>
    </row>
    <row r="1752" s="2" customFormat="1" ht="30" customHeight="1" spans="1:6">
      <c r="A1752" s="9">
        <v>1749</v>
      </c>
      <c r="B1752" s="10" t="s">
        <v>1230</v>
      </c>
      <c r="C1752" s="10" t="s">
        <v>1231</v>
      </c>
      <c r="D1752" s="10" t="s">
        <v>1749</v>
      </c>
      <c r="E1752" s="10" t="str">
        <f>"644020240513102348173349"</f>
        <v>644020240513102348173349</v>
      </c>
      <c r="F1752" s="9"/>
    </row>
    <row r="1753" s="2" customFormat="1" ht="30" customHeight="1" spans="1:6">
      <c r="A1753" s="9">
        <v>1750</v>
      </c>
      <c r="B1753" s="10" t="s">
        <v>1230</v>
      </c>
      <c r="C1753" s="10" t="s">
        <v>1231</v>
      </c>
      <c r="D1753" s="10" t="s">
        <v>1750</v>
      </c>
      <c r="E1753" s="10" t="str">
        <f>"644020240514083357177864"</f>
        <v>644020240514083357177864</v>
      </c>
      <c r="F1753" s="9"/>
    </row>
    <row r="1754" s="2" customFormat="1" ht="30" customHeight="1" spans="1:6">
      <c r="A1754" s="9">
        <v>1751</v>
      </c>
      <c r="B1754" s="10" t="s">
        <v>1230</v>
      </c>
      <c r="C1754" s="10" t="s">
        <v>1231</v>
      </c>
      <c r="D1754" s="10" t="s">
        <v>1751</v>
      </c>
      <c r="E1754" s="10" t="str">
        <f>"644020240513153354175506"</f>
        <v>644020240513153354175506</v>
      </c>
      <c r="F1754" s="9"/>
    </row>
    <row r="1755" s="2" customFormat="1" ht="30" customHeight="1" spans="1:6">
      <c r="A1755" s="9">
        <v>1752</v>
      </c>
      <c r="B1755" s="10" t="s">
        <v>1230</v>
      </c>
      <c r="C1755" s="10" t="s">
        <v>1231</v>
      </c>
      <c r="D1755" s="10" t="s">
        <v>1752</v>
      </c>
      <c r="E1755" s="10" t="str">
        <f>"644020240514091722178050"</f>
        <v>644020240514091722178050</v>
      </c>
      <c r="F1755" s="9"/>
    </row>
    <row r="1756" s="2" customFormat="1" ht="30" customHeight="1" spans="1:6">
      <c r="A1756" s="9">
        <v>1753</v>
      </c>
      <c r="B1756" s="10" t="s">
        <v>1230</v>
      </c>
      <c r="C1756" s="10" t="s">
        <v>1231</v>
      </c>
      <c r="D1756" s="10" t="s">
        <v>1753</v>
      </c>
      <c r="E1756" s="10" t="str">
        <f>"644020240513194918176689"</f>
        <v>644020240513194918176689</v>
      </c>
      <c r="F1756" s="9"/>
    </row>
    <row r="1757" s="2" customFormat="1" ht="30" customHeight="1" spans="1:6">
      <c r="A1757" s="9">
        <v>1754</v>
      </c>
      <c r="B1757" s="10" t="s">
        <v>1230</v>
      </c>
      <c r="C1757" s="10" t="s">
        <v>1231</v>
      </c>
      <c r="D1757" s="10" t="s">
        <v>1754</v>
      </c>
      <c r="E1757" s="10" t="str">
        <f>"644020240514091856178058"</f>
        <v>644020240514091856178058</v>
      </c>
      <c r="F1757" s="9"/>
    </row>
    <row r="1758" s="2" customFormat="1" ht="30" customHeight="1" spans="1:6">
      <c r="A1758" s="9">
        <v>1755</v>
      </c>
      <c r="B1758" s="10" t="s">
        <v>1230</v>
      </c>
      <c r="C1758" s="10" t="s">
        <v>1231</v>
      </c>
      <c r="D1758" s="10" t="s">
        <v>1755</v>
      </c>
      <c r="E1758" s="10" t="str">
        <f>"644020240514093623178140"</f>
        <v>644020240514093623178140</v>
      </c>
      <c r="F1758" s="9"/>
    </row>
    <row r="1759" s="2" customFormat="1" ht="30" customHeight="1" spans="1:6">
      <c r="A1759" s="9">
        <v>1756</v>
      </c>
      <c r="B1759" s="10" t="s">
        <v>1230</v>
      </c>
      <c r="C1759" s="10" t="s">
        <v>1231</v>
      </c>
      <c r="D1759" s="10" t="s">
        <v>1756</v>
      </c>
      <c r="E1759" s="10" t="str">
        <f>"644020240513104119173519"</f>
        <v>644020240513104119173519</v>
      </c>
      <c r="F1759" s="9"/>
    </row>
    <row r="1760" s="2" customFormat="1" ht="30" customHeight="1" spans="1:6">
      <c r="A1760" s="9">
        <v>1757</v>
      </c>
      <c r="B1760" s="10" t="s">
        <v>1230</v>
      </c>
      <c r="C1760" s="10" t="s">
        <v>1231</v>
      </c>
      <c r="D1760" s="10" t="s">
        <v>1757</v>
      </c>
      <c r="E1760" s="10" t="str">
        <f>"644020240514094530178200"</f>
        <v>644020240514094530178200</v>
      </c>
      <c r="F1760" s="9"/>
    </row>
    <row r="1761" s="2" customFormat="1" ht="30" customHeight="1" spans="1:6">
      <c r="A1761" s="9">
        <v>1758</v>
      </c>
      <c r="B1761" s="10" t="s">
        <v>1230</v>
      </c>
      <c r="C1761" s="10" t="s">
        <v>1231</v>
      </c>
      <c r="D1761" s="10" t="s">
        <v>1758</v>
      </c>
      <c r="E1761" s="10" t="str">
        <f>"644020240514094752178209"</f>
        <v>644020240514094752178209</v>
      </c>
      <c r="F1761" s="9"/>
    </row>
    <row r="1762" s="2" customFormat="1" ht="30" customHeight="1" spans="1:6">
      <c r="A1762" s="9">
        <v>1759</v>
      </c>
      <c r="B1762" s="10" t="s">
        <v>1230</v>
      </c>
      <c r="C1762" s="10" t="s">
        <v>1231</v>
      </c>
      <c r="D1762" s="10" t="s">
        <v>1759</v>
      </c>
      <c r="E1762" s="10" t="str">
        <f>"644020240514091834178055"</f>
        <v>644020240514091834178055</v>
      </c>
      <c r="F1762" s="9"/>
    </row>
    <row r="1763" s="2" customFormat="1" ht="30" customHeight="1" spans="1:6">
      <c r="A1763" s="9">
        <v>1760</v>
      </c>
      <c r="B1763" s="10" t="s">
        <v>1230</v>
      </c>
      <c r="C1763" s="10" t="s">
        <v>1231</v>
      </c>
      <c r="D1763" s="10" t="s">
        <v>1760</v>
      </c>
      <c r="E1763" s="10" t="str">
        <f>"644020240514100105178273"</f>
        <v>644020240514100105178273</v>
      </c>
      <c r="F1763" s="9"/>
    </row>
    <row r="1764" s="2" customFormat="1" ht="30" customHeight="1" spans="1:6">
      <c r="A1764" s="9">
        <v>1761</v>
      </c>
      <c r="B1764" s="10" t="s">
        <v>1230</v>
      </c>
      <c r="C1764" s="10" t="s">
        <v>1231</v>
      </c>
      <c r="D1764" s="10" t="s">
        <v>1761</v>
      </c>
      <c r="E1764" s="10" t="str">
        <f>"644020240513102041173314"</f>
        <v>644020240513102041173314</v>
      </c>
      <c r="F1764" s="9"/>
    </row>
    <row r="1765" s="2" customFormat="1" ht="30" customHeight="1" spans="1:6">
      <c r="A1765" s="9">
        <v>1762</v>
      </c>
      <c r="B1765" s="10" t="s">
        <v>1230</v>
      </c>
      <c r="C1765" s="10" t="s">
        <v>1231</v>
      </c>
      <c r="D1765" s="10" t="s">
        <v>1762</v>
      </c>
      <c r="E1765" s="10" t="str">
        <f>"644020240514100246178282"</f>
        <v>644020240514100246178282</v>
      </c>
      <c r="F1765" s="9"/>
    </row>
    <row r="1766" s="2" customFormat="1" ht="30" customHeight="1" spans="1:6">
      <c r="A1766" s="9">
        <v>1763</v>
      </c>
      <c r="B1766" s="10" t="s">
        <v>1230</v>
      </c>
      <c r="C1766" s="10" t="s">
        <v>1231</v>
      </c>
      <c r="D1766" s="10" t="s">
        <v>1763</v>
      </c>
      <c r="E1766" s="10" t="str">
        <f>"644020240514100959178312"</f>
        <v>644020240514100959178312</v>
      </c>
      <c r="F1766" s="9"/>
    </row>
    <row r="1767" s="2" customFormat="1" ht="30" customHeight="1" spans="1:6">
      <c r="A1767" s="9">
        <v>1764</v>
      </c>
      <c r="B1767" s="10" t="s">
        <v>1230</v>
      </c>
      <c r="C1767" s="10" t="s">
        <v>1231</v>
      </c>
      <c r="D1767" s="10" t="s">
        <v>1764</v>
      </c>
      <c r="E1767" s="10" t="str">
        <f>"644020240514102716178420"</f>
        <v>644020240514102716178420</v>
      </c>
      <c r="F1767" s="9"/>
    </row>
    <row r="1768" s="2" customFormat="1" ht="30" customHeight="1" spans="1:6">
      <c r="A1768" s="9">
        <v>1765</v>
      </c>
      <c r="B1768" s="10" t="s">
        <v>1230</v>
      </c>
      <c r="C1768" s="10" t="s">
        <v>1231</v>
      </c>
      <c r="D1768" s="10" t="s">
        <v>1765</v>
      </c>
      <c r="E1768" s="10" t="str">
        <f>"644020240514103213178443"</f>
        <v>644020240514103213178443</v>
      </c>
      <c r="F1768" s="9"/>
    </row>
    <row r="1769" s="2" customFormat="1" ht="30" customHeight="1" spans="1:6">
      <c r="A1769" s="9">
        <v>1766</v>
      </c>
      <c r="B1769" s="10" t="s">
        <v>1230</v>
      </c>
      <c r="C1769" s="10" t="s">
        <v>1231</v>
      </c>
      <c r="D1769" s="10" t="s">
        <v>1766</v>
      </c>
      <c r="E1769" s="10" t="str">
        <f>"644020240512141426169498"</f>
        <v>644020240512141426169498</v>
      </c>
      <c r="F1769" s="9"/>
    </row>
    <row r="1770" s="2" customFormat="1" ht="30" customHeight="1" spans="1:6">
      <c r="A1770" s="9">
        <v>1767</v>
      </c>
      <c r="B1770" s="10" t="s">
        <v>1230</v>
      </c>
      <c r="C1770" s="10" t="s">
        <v>1231</v>
      </c>
      <c r="D1770" s="10" t="s">
        <v>1767</v>
      </c>
      <c r="E1770" s="10" t="str">
        <f>"644020240514103633178472"</f>
        <v>644020240514103633178472</v>
      </c>
      <c r="F1770" s="9"/>
    </row>
    <row r="1771" s="2" customFormat="1" ht="30" customHeight="1" spans="1:6">
      <c r="A1771" s="9">
        <v>1768</v>
      </c>
      <c r="B1771" s="10" t="s">
        <v>1230</v>
      </c>
      <c r="C1771" s="10" t="s">
        <v>1231</v>
      </c>
      <c r="D1771" s="10" t="s">
        <v>1768</v>
      </c>
      <c r="E1771" s="10" t="str">
        <f>"644020240514074444177797"</f>
        <v>644020240514074444177797</v>
      </c>
      <c r="F1771" s="9"/>
    </row>
    <row r="1772" s="2" customFormat="1" ht="30" customHeight="1" spans="1:6">
      <c r="A1772" s="9">
        <v>1769</v>
      </c>
      <c r="B1772" s="10" t="s">
        <v>1230</v>
      </c>
      <c r="C1772" s="10" t="s">
        <v>1231</v>
      </c>
      <c r="D1772" s="10" t="s">
        <v>1769</v>
      </c>
      <c r="E1772" s="10" t="str">
        <f>"644020240514103410178459"</f>
        <v>644020240514103410178459</v>
      </c>
      <c r="F1772" s="9"/>
    </row>
    <row r="1773" s="2" customFormat="1" ht="30" customHeight="1" spans="1:6">
      <c r="A1773" s="9">
        <v>1770</v>
      </c>
      <c r="B1773" s="10" t="s">
        <v>1230</v>
      </c>
      <c r="C1773" s="10" t="s">
        <v>1231</v>
      </c>
      <c r="D1773" s="10" t="s">
        <v>1770</v>
      </c>
      <c r="E1773" s="10" t="str">
        <f>"644020240514103803178480"</f>
        <v>644020240514103803178480</v>
      </c>
      <c r="F1773" s="9"/>
    </row>
    <row r="1774" s="2" customFormat="1" ht="30" customHeight="1" spans="1:6">
      <c r="A1774" s="9">
        <v>1771</v>
      </c>
      <c r="B1774" s="10" t="s">
        <v>1230</v>
      </c>
      <c r="C1774" s="10" t="s">
        <v>1231</v>
      </c>
      <c r="D1774" s="10" t="s">
        <v>1771</v>
      </c>
      <c r="E1774" s="10" t="str">
        <f>"644020240514103259178449"</f>
        <v>644020240514103259178449</v>
      </c>
      <c r="F1774" s="9"/>
    </row>
    <row r="1775" s="2" customFormat="1" ht="30" customHeight="1" spans="1:6">
      <c r="A1775" s="9">
        <v>1772</v>
      </c>
      <c r="B1775" s="10" t="s">
        <v>1230</v>
      </c>
      <c r="C1775" s="10" t="s">
        <v>1231</v>
      </c>
      <c r="D1775" s="10" t="s">
        <v>1772</v>
      </c>
      <c r="E1775" s="10" t="str">
        <f>"644020240514100948178311"</f>
        <v>644020240514100948178311</v>
      </c>
      <c r="F1775" s="9"/>
    </row>
    <row r="1776" s="2" customFormat="1" ht="30" customHeight="1" spans="1:6">
      <c r="A1776" s="9">
        <v>1773</v>
      </c>
      <c r="B1776" s="10" t="s">
        <v>1230</v>
      </c>
      <c r="C1776" s="10" t="s">
        <v>1231</v>
      </c>
      <c r="D1776" s="10" t="s">
        <v>85</v>
      </c>
      <c r="E1776" s="10" t="str">
        <f>"644020240514104308178514"</f>
        <v>644020240514104308178514</v>
      </c>
      <c r="F1776" s="9"/>
    </row>
    <row r="1777" s="2" customFormat="1" ht="30" customHeight="1" spans="1:6">
      <c r="A1777" s="9">
        <v>1774</v>
      </c>
      <c r="B1777" s="10" t="s">
        <v>1230</v>
      </c>
      <c r="C1777" s="10" t="s">
        <v>1231</v>
      </c>
      <c r="D1777" s="10" t="s">
        <v>1773</v>
      </c>
      <c r="E1777" s="10" t="str">
        <f>"644020240514105603178581"</f>
        <v>644020240514105603178581</v>
      </c>
      <c r="F1777" s="9"/>
    </row>
    <row r="1778" s="2" customFormat="1" ht="30" customHeight="1" spans="1:6">
      <c r="A1778" s="9">
        <v>1775</v>
      </c>
      <c r="B1778" s="10" t="s">
        <v>1230</v>
      </c>
      <c r="C1778" s="10" t="s">
        <v>1231</v>
      </c>
      <c r="D1778" s="10" t="s">
        <v>1774</v>
      </c>
      <c r="E1778" s="10" t="str">
        <f>"644020240514092226178079"</f>
        <v>644020240514092226178079</v>
      </c>
      <c r="F1778" s="9"/>
    </row>
    <row r="1779" s="2" customFormat="1" ht="30" customHeight="1" spans="1:6">
      <c r="A1779" s="9">
        <v>1776</v>
      </c>
      <c r="B1779" s="10" t="s">
        <v>1230</v>
      </c>
      <c r="C1779" s="10" t="s">
        <v>1231</v>
      </c>
      <c r="D1779" s="10" t="s">
        <v>1775</v>
      </c>
      <c r="E1779" s="10" t="str">
        <f>"644020240514104749178543"</f>
        <v>644020240514104749178543</v>
      </c>
      <c r="F1779" s="9"/>
    </row>
    <row r="1780" s="2" customFormat="1" ht="30" customHeight="1" spans="1:6">
      <c r="A1780" s="9">
        <v>1777</v>
      </c>
      <c r="B1780" s="10" t="s">
        <v>1230</v>
      </c>
      <c r="C1780" s="10" t="s">
        <v>1231</v>
      </c>
      <c r="D1780" s="10" t="s">
        <v>1776</v>
      </c>
      <c r="E1780" s="10" t="str">
        <f>"644020240514110249178611"</f>
        <v>644020240514110249178611</v>
      </c>
      <c r="F1780" s="9"/>
    </row>
    <row r="1781" s="2" customFormat="1" ht="30" customHeight="1" spans="1:6">
      <c r="A1781" s="9">
        <v>1778</v>
      </c>
      <c r="B1781" s="10" t="s">
        <v>1230</v>
      </c>
      <c r="C1781" s="10" t="s">
        <v>1231</v>
      </c>
      <c r="D1781" s="10" t="s">
        <v>1777</v>
      </c>
      <c r="E1781" s="10" t="str">
        <f>"644020240514092655178093"</f>
        <v>644020240514092655178093</v>
      </c>
      <c r="F1781" s="9"/>
    </row>
    <row r="1782" s="2" customFormat="1" ht="30" customHeight="1" spans="1:6">
      <c r="A1782" s="9">
        <v>1779</v>
      </c>
      <c r="B1782" s="10" t="s">
        <v>1230</v>
      </c>
      <c r="C1782" s="10" t="s">
        <v>1231</v>
      </c>
      <c r="D1782" s="10" t="s">
        <v>1778</v>
      </c>
      <c r="E1782" s="10" t="str">
        <f>"644020240514101823178363"</f>
        <v>644020240514101823178363</v>
      </c>
      <c r="F1782" s="9"/>
    </row>
    <row r="1783" s="2" customFormat="1" ht="30" customHeight="1" spans="1:6">
      <c r="A1783" s="9">
        <v>1780</v>
      </c>
      <c r="B1783" s="10" t="s">
        <v>1230</v>
      </c>
      <c r="C1783" s="10" t="s">
        <v>1231</v>
      </c>
      <c r="D1783" s="10" t="s">
        <v>1779</v>
      </c>
      <c r="E1783" s="10" t="str">
        <f>"644020240514105846178599"</f>
        <v>644020240514105846178599</v>
      </c>
      <c r="F1783" s="9"/>
    </row>
    <row r="1784" s="2" customFormat="1" ht="30" customHeight="1" spans="1:6">
      <c r="A1784" s="9">
        <v>1781</v>
      </c>
      <c r="B1784" s="10" t="s">
        <v>1230</v>
      </c>
      <c r="C1784" s="10" t="s">
        <v>1231</v>
      </c>
      <c r="D1784" s="10" t="s">
        <v>1780</v>
      </c>
      <c r="E1784" s="10" t="str">
        <f>"644020240514111943178671"</f>
        <v>644020240514111943178671</v>
      </c>
      <c r="F1784" s="9"/>
    </row>
    <row r="1785" s="2" customFormat="1" ht="30" customHeight="1" spans="1:6">
      <c r="A1785" s="9">
        <v>1782</v>
      </c>
      <c r="B1785" s="10" t="s">
        <v>1230</v>
      </c>
      <c r="C1785" s="10" t="s">
        <v>1231</v>
      </c>
      <c r="D1785" s="10" t="s">
        <v>1781</v>
      </c>
      <c r="E1785" s="10" t="str">
        <f>"644020240514112547178701"</f>
        <v>644020240514112547178701</v>
      </c>
      <c r="F1785" s="9"/>
    </row>
    <row r="1786" s="2" customFormat="1" ht="30" customHeight="1" spans="1:6">
      <c r="A1786" s="9">
        <v>1783</v>
      </c>
      <c r="B1786" s="10" t="s">
        <v>1230</v>
      </c>
      <c r="C1786" s="10" t="s">
        <v>1231</v>
      </c>
      <c r="D1786" s="10" t="s">
        <v>1782</v>
      </c>
      <c r="E1786" s="10" t="str">
        <f>"644020240514101431178334"</f>
        <v>644020240514101431178334</v>
      </c>
      <c r="F1786" s="9"/>
    </row>
    <row r="1787" s="2" customFormat="1" ht="30" customHeight="1" spans="1:6">
      <c r="A1787" s="9">
        <v>1784</v>
      </c>
      <c r="B1787" s="10" t="s">
        <v>1230</v>
      </c>
      <c r="C1787" s="10" t="s">
        <v>1231</v>
      </c>
      <c r="D1787" s="10" t="s">
        <v>1783</v>
      </c>
      <c r="E1787" s="10" t="str">
        <f>"644020240514111615178660"</f>
        <v>644020240514111615178660</v>
      </c>
      <c r="F1787" s="9"/>
    </row>
    <row r="1788" s="2" customFormat="1" ht="30" customHeight="1" spans="1:6">
      <c r="A1788" s="9">
        <v>1785</v>
      </c>
      <c r="B1788" s="10" t="s">
        <v>1230</v>
      </c>
      <c r="C1788" s="10" t="s">
        <v>1231</v>
      </c>
      <c r="D1788" s="10" t="s">
        <v>1784</v>
      </c>
      <c r="E1788" s="10" t="str">
        <f>"644020240512180155170318"</f>
        <v>644020240512180155170318</v>
      </c>
      <c r="F1788" s="9"/>
    </row>
    <row r="1789" s="2" customFormat="1" ht="30" customHeight="1" spans="1:6">
      <c r="A1789" s="9">
        <v>1786</v>
      </c>
      <c r="B1789" s="10" t="s">
        <v>1230</v>
      </c>
      <c r="C1789" s="10" t="s">
        <v>1231</v>
      </c>
      <c r="D1789" s="10" t="s">
        <v>1785</v>
      </c>
      <c r="E1789" s="10" t="str">
        <f>"644020240512091711168185"</f>
        <v>644020240512091711168185</v>
      </c>
      <c r="F1789" s="9"/>
    </row>
    <row r="1790" s="2" customFormat="1" ht="30" customHeight="1" spans="1:6">
      <c r="A1790" s="9">
        <v>1787</v>
      </c>
      <c r="B1790" s="10" t="s">
        <v>1230</v>
      </c>
      <c r="C1790" s="10" t="s">
        <v>1231</v>
      </c>
      <c r="D1790" s="10" t="s">
        <v>1786</v>
      </c>
      <c r="E1790" s="10" t="str">
        <f>"644020240514111514178655"</f>
        <v>644020240514111514178655</v>
      </c>
      <c r="F1790" s="9"/>
    </row>
    <row r="1791" s="2" customFormat="1" ht="30" customHeight="1" spans="1:6">
      <c r="A1791" s="9">
        <v>1788</v>
      </c>
      <c r="B1791" s="10" t="s">
        <v>1230</v>
      </c>
      <c r="C1791" s="10" t="s">
        <v>1231</v>
      </c>
      <c r="D1791" s="10" t="s">
        <v>1787</v>
      </c>
      <c r="E1791" s="10" t="str">
        <f>"644020240513230437177512"</f>
        <v>644020240513230437177512</v>
      </c>
      <c r="F1791" s="9"/>
    </row>
    <row r="1792" s="2" customFormat="1" ht="30" customHeight="1" spans="1:6">
      <c r="A1792" s="9">
        <v>1789</v>
      </c>
      <c r="B1792" s="10" t="s">
        <v>1230</v>
      </c>
      <c r="C1792" s="10" t="s">
        <v>1231</v>
      </c>
      <c r="D1792" s="10" t="s">
        <v>1788</v>
      </c>
      <c r="E1792" s="10" t="str">
        <f>"644020240514114146178768"</f>
        <v>644020240514114146178768</v>
      </c>
      <c r="F1792" s="9"/>
    </row>
    <row r="1793" s="2" customFormat="1" ht="30" customHeight="1" spans="1:6">
      <c r="A1793" s="9">
        <v>1790</v>
      </c>
      <c r="B1793" s="10" t="s">
        <v>1230</v>
      </c>
      <c r="C1793" s="10" t="s">
        <v>1231</v>
      </c>
      <c r="D1793" s="10" t="s">
        <v>1789</v>
      </c>
      <c r="E1793" s="10" t="str">
        <f>"644020240513173304176244"</f>
        <v>644020240513173304176244</v>
      </c>
      <c r="F1793" s="9"/>
    </row>
    <row r="1794" s="2" customFormat="1" ht="30" customHeight="1" spans="1:6">
      <c r="A1794" s="9">
        <v>1791</v>
      </c>
      <c r="B1794" s="10" t="s">
        <v>1230</v>
      </c>
      <c r="C1794" s="10" t="s">
        <v>1231</v>
      </c>
      <c r="D1794" s="10" t="s">
        <v>1790</v>
      </c>
      <c r="E1794" s="10" t="str">
        <f>"644020240514112816178713"</f>
        <v>644020240514112816178713</v>
      </c>
      <c r="F1794" s="9"/>
    </row>
    <row r="1795" s="2" customFormat="1" ht="30" customHeight="1" spans="1:6">
      <c r="A1795" s="9">
        <v>1792</v>
      </c>
      <c r="B1795" s="10" t="s">
        <v>1230</v>
      </c>
      <c r="C1795" s="10" t="s">
        <v>1231</v>
      </c>
      <c r="D1795" s="10" t="s">
        <v>1791</v>
      </c>
      <c r="E1795" s="10" t="str">
        <f>"644020240514090616177999"</f>
        <v>644020240514090616177999</v>
      </c>
      <c r="F1795" s="9"/>
    </row>
    <row r="1796" s="2" customFormat="1" ht="30" customHeight="1" spans="1:6">
      <c r="A1796" s="9">
        <v>1793</v>
      </c>
      <c r="B1796" s="10" t="s">
        <v>1230</v>
      </c>
      <c r="C1796" s="10" t="s">
        <v>1231</v>
      </c>
      <c r="D1796" s="10" t="s">
        <v>1792</v>
      </c>
      <c r="E1796" s="10" t="str">
        <f>"644020240513230015177491"</f>
        <v>644020240513230015177491</v>
      </c>
      <c r="F1796" s="9"/>
    </row>
    <row r="1797" s="2" customFormat="1" ht="30" customHeight="1" spans="1:6">
      <c r="A1797" s="9">
        <v>1794</v>
      </c>
      <c r="B1797" s="10" t="s">
        <v>1230</v>
      </c>
      <c r="C1797" s="10" t="s">
        <v>1231</v>
      </c>
      <c r="D1797" s="10" t="s">
        <v>1793</v>
      </c>
      <c r="E1797" s="10" t="str">
        <f>"644020240513173737176268"</f>
        <v>644020240513173737176268</v>
      </c>
      <c r="F1797" s="9"/>
    </row>
    <row r="1798" s="2" customFormat="1" ht="30" customHeight="1" spans="1:6">
      <c r="A1798" s="9">
        <v>1795</v>
      </c>
      <c r="B1798" s="10" t="s">
        <v>1230</v>
      </c>
      <c r="C1798" s="10" t="s">
        <v>1231</v>
      </c>
      <c r="D1798" s="10" t="s">
        <v>1794</v>
      </c>
      <c r="E1798" s="10" t="str">
        <f>"644020240512102945168563"</f>
        <v>644020240512102945168563</v>
      </c>
      <c r="F1798" s="9"/>
    </row>
    <row r="1799" s="2" customFormat="1" ht="30" customHeight="1" spans="1:6">
      <c r="A1799" s="9">
        <v>1796</v>
      </c>
      <c r="B1799" s="10" t="s">
        <v>1230</v>
      </c>
      <c r="C1799" s="10" t="s">
        <v>1231</v>
      </c>
      <c r="D1799" s="10" t="s">
        <v>1795</v>
      </c>
      <c r="E1799" s="10" t="str">
        <f>"644020240514103406178458"</f>
        <v>644020240514103406178458</v>
      </c>
      <c r="F1799" s="9"/>
    </row>
    <row r="1800" s="2" customFormat="1" ht="30" customHeight="1" spans="1:6">
      <c r="A1800" s="9">
        <v>1797</v>
      </c>
      <c r="B1800" s="10" t="s">
        <v>1230</v>
      </c>
      <c r="C1800" s="10" t="s">
        <v>1231</v>
      </c>
      <c r="D1800" s="10" t="s">
        <v>1796</v>
      </c>
      <c r="E1800" s="10" t="str">
        <f>"644020240514121353178859"</f>
        <v>644020240514121353178859</v>
      </c>
      <c r="F1800" s="9"/>
    </row>
    <row r="1801" s="2" customFormat="1" ht="30" customHeight="1" spans="1:6">
      <c r="A1801" s="9">
        <v>1798</v>
      </c>
      <c r="B1801" s="10" t="s">
        <v>1230</v>
      </c>
      <c r="C1801" s="10" t="s">
        <v>1231</v>
      </c>
      <c r="D1801" s="10" t="s">
        <v>1797</v>
      </c>
      <c r="E1801" s="10" t="str">
        <f>"644020240513185704176502"</f>
        <v>644020240513185704176502</v>
      </c>
      <c r="F1801" s="9"/>
    </row>
    <row r="1802" s="2" customFormat="1" ht="30" customHeight="1" spans="1:6">
      <c r="A1802" s="9">
        <v>1799</v>
      </c>
      <c r="B1802" s="10" t="s">
        <v>1230</v>
      </c>
      <c r="C1802" s="10" t="s">
        <v>1231</v>
      </c>
      <c r="D1802" s="10" t="s">
        <v>1798</v>
      </c>
      <c r="E1802" s="10" t="str">
        <f>"644020240514113754178757"</f>
        <v>644020240514113754178757</v>
      </c>
      <c r="F1802" s="9"/>
    </row>
    <row r="1803" s="2" customFormat="1" ht="30" customHeight="1" spans="1:6">
      <c r="A1803" s="9">
        <v>1800</v>
      </c>
      <c r="B1803" s="10" t="s">
        <v>1230</v>
      </c>
      <c r="C1803" s="10" t="s">
        <v>1231</v>
      </c>
      <c r="D1803" s="10" t="s">
        <v>1799</v>
      </c>
      <c r="E1803" s="10" t="str">
        <f>"644020240514120457178832"</f>
        <v>644020240514120457178832</v>
      </c>
      <c r="F1803" s="9"/>
    </row>
    <row r="1804" s="2" customFormat="1" ht="30" customHeight="1" spans="1:6">
      <c r="A1804" s="9">
        <v>1801</v>
      </c>
      <c r="B1804" s="10" t="s">
        <v>1230</v>
      </c>
      <c r="C1804" s="10" t="s">
        <v>1231</v>
      </c>
      <c r="D1804" s="10" t="s">
        <v>1800</v>
      </c>
      <c r="E1804" s="10" t="str">
        <f>"644020240514121614178866"</f>
        <v>644020240514121614178866</v>
      </c>
      <c r="F1804" s="9"/>
    </row>
    <row r="1805" s="2" customFormat="1" ht="30" customHeight="1" spans="1:6">
      <c r="A1805" s="9">
        <v>1802</v>
      </c>
      <c r="B1805" s="10" t="s">
        <v>1230</v>
      </c>
      <c r="C1805" s="10" t="s">
        <v>1231</v>
      </c>
      <c r="D1805" s="10" t="s">
        <v>1801</v>
      </c>
      <c r="E1805" s="10" t="str">
        <f>"644020240514091710178049"</f>
        <v>644020240514091710178049</v>
      </c>
      <c r="F1805" s="9"/>
    </row>
    <row r="1806" s="2" customFormat="1" ht="30" customHeight="1" spans="1:6">
      <c r="A1806" s="9">
        <v>1803</v>
      </c>
      <c r="B1806" s="10" t="s">
        <v>1230</v>
      </c>
      <c r="C1806" s="10" t="s">
        <v>1231</v>
      </c>
      <c r="D1806" s="10" t="s">
        <v>1802</v>
      </c>
      <c r="E1806" s="10" t="str">
        <f>"644020240513171906176179"</f>
        <v>644020240513171906176179</v>
      </c>
      <c r="F1806" s="9"/>
    </row>
    <row r="1807" s="2" customFormat="1" ht="30" customHeight="1" spans="1:6">
      <c r="A1807" s="9">
        <v>1804</v>
      </c>
      <c r="B1807" s="10" t="s">
        <v>1230</v>
      </c>
      <c r="C1807" s="10" t="s">
        <v>1231</v>
      </c>
      <c r="D1807" s="10" t="s">
        <v>1803</v>
      </c>
      <c r="E1807" s="10" t="str">
        <f>"644020240513184853176474"</f>
        <v>644020240513184853176474</v>
      </c>
      <c r="F1807" s="9"/>
    </row>
    <row r="1808" s="2" customFormat="1" ht="30" customHeight="1" spans="1:6">
      <c r="A1808" s="9">
        <v>1805</v>
      </c>
      <c r="B1808" s="10" t="s">
        <v>1230</v>
      </c>
      <c r="C1808" s="10" t="s">
        <v>1231</v>
      </c>
      <c r="D1808" s="10" t="s">
        <v>1804</v>
      </c>
      <c r="E1808" s="10" t="str">
        <f>"644020240514122725178891"</f>
        <v>644020240514122725178891</v>
      </c>
      <c r="F1808" s="9"/>
    </row>
    <row r="1809" s="2" customFormat="1" ht="30" customHeight="1" spans="1:6">
      <c r="A1809" s="9">
        <v>1806</v>
      </c>
      <c r="B1809" s="10" t="s">
        <v>1230</v>
      </c>
      <c r="C1809" s="10" t="s">
        <v>1231</v>
      </c>
      <c r="D1809" s="10" t="s">
        <v>1805</v>
      </c>
      <c r="E1809" s="10" t="str">
        <f>"644020240513223340177379"</f>
        <v>644020240513223340177379</v>
      </c>
      <c r="F1809" s="9"/>
    </row>
    <row r="1810" s="2" customFormat="1" ht="30" customHeight="1" spans="1:6">
      <c r="A1810" s="9">
        <v>1807</v>
      </c>
      <c r="B1810" s="10" t="s">
        <v>1230</v>
      </c>
      <c r="C1810" s="10" t="s">
        <v>1231</v>
      </c>
      <c r="D1810" s="10" t="s">
        <v>1806</v>
      </c>
      <c r="E1810" s="10" t="str">
        <f>"644020240514084900177917"</f>
        <v>644020240514084900177917</v>
      </c>
      <c r="F1810" s="9"/>
    </row>
    <row r="1811" s="2" customFormat="1" ht="30" customHeight="1" spans="1:6">
      <c r="A1811" s="9">
        <v>1808</v>
      </c>
      <c r="B1811" s="10" t="s">
        <v>1230</v>
      </c>
      <c r="C1811" s="10" t="s">
        <v>1231</v>
      </c>
      <c r="D1811" s="10" t="s">
        <v>1807</v>
      </c>
      <c r="E1811" s="10" t="str">
        <f>"644020240513082020172252"</f>
        <v>644020240513082020172252</v>
      </c>
      <c r="F1811" s="9"/>
    </row>
    <row r="1812" s="2" customFormat="1" ht="30" customHeight="1" spans="1:6">
      <c r="A1812" s="9">
        <v>1809</v>
      </c>
      <c r="B1812" s="10" t="s">
        <v>1230</v>
      </c>
      <c r="C1812" s="10" t="s">
        <v>1231</v>
      </c>
      <c r="D1812" s="10" t="s">
        <v>1808</v>
      </c>
      <c r="E1812" s="10" t="str">
        <f>"644020240514115833178817"</f>
        <v>644020240514115833178817</v>
      </c>
      <c r="F1812" s="9"/>
    </row>
    <row r="1813" s="2" customFormat="1" ht="30" customHeight="1" spans="1:6">
      <c r="A1813" s="9">
        <v>1810</v>
      </c>
      <c r="B1813" s="10" t="s">
        <v>1230</v>
      </c>
      <c r="C1813" s="10" t="s">
        <v>1231</v>
      </c>
      <c r="D1813" s="10" t="s">
        <v>1809</v>
      </c>
      <c r="E1813" s="10" t="str">
        <f>"644020240514121322178857"</f>
        <v>644020240514121322178857</v>
      </c>
      <c r="F1813" s="9"/>
    </row>
    <row r="1814" s="2" customFormat="1" ht="30" customHeight="1" spans="1:6">
      <c r="A1814" s="9">
        <v>1811</v>
      </c>
      <c r="B1814" s="10" t="s">
        <v>1230</v>
      </c>
      <c r="C1814" s="10" t="s">
        <v>1231</v>
      </c>
      <c r="D1814" s="10" t="s">
        <v>1810</v>
      </c>
      <c r="E1814" s="10" t="str">
        <f>"644020240514125743178948"</f>
        <v>644020240514125743178948</v>
      </c>
      <c r="F1814" s="9"/>
    </row>
    <row r="1815" s="2" customFormat="1" ht="30" customHeight="1" spans="1:6">
      <c r="A1815" s="9">
        <v>1812</v>
      </c>
      <c r="B1815" s="10" t="s">
        <v>1230</v>
      </c>
      <c r="C1815" s="10" t="s">
        <v>1231</v>
      </c>
      <c r="D1815" s="10" t="s">
        <v>1811</v>
      </c>
      <c r="E1815" s="10" t="str">
        <f>"644020240514114607178784"</f>
        <v>644020240514114607178784</v>
      </c>
      <c r="F1815" s="9"/>
    </row>
    <row r="1816" s="2" customFormat="1" ht="30" customHeight="1" spans="1:6">
      <c r="A1816" s="9">
        <v>1813</v>
      </c>
      <c r="B1816" s="10" t="s">
        <v>1230</v>
      </c>
      <c r="C1816" s="10" t="s">
        <v>1231</v>
      </c>
      <c r="D1816" s="10" t="s">
        <v>1812</v>
      </c>
      <c r="E1816" s="10" t="str">
        <f>"644020240514124123178917"</f>
        <v>644020240514124123178917</v>
      </c>
      <c r="F1816" s="9"/>
    </row>
    <row r="1817" s="2" customFormat="1" ht="30" customHeight="1" spans="1:6">
      <c r="A1817" s="9">
        <v>1814</v>
      </c>
      <c r="B1817" s="10" t="s">
        <v>1230</v>
      </c>
      <c r="C1817" s="10" t="s">
        <v>1231</v>
      </c>
      <c r="D1817" s="10" t="s">
        <v>1813</v>
      </c>
      <c r="E1817" s="10" t="str">
        <f>"644020240514130217178964"</f>
        <v>644020240514130217178964</v>
      </c>
      <c r="F1817" s="9"/>
    </row>
    <row r="1818" s="2" customFormat="1" ht="30" customHeight="1" spans="1:6">
      <c r="A1818" s="9">
        <v>1815</v>
      </c>
      <c r="B1818" s="10" t="s">
        <v>1230</v>
      </c>
      <c r="C1818" s="10" t="s">
        <v>1231</v>
      </c>
      <c r="D1818" s="10" t="s">
        <v>1814</v>
      </c>
      <c r="E1818" s="10" t="str">
        <f>"644020240512104535168653"</f>
        <v>644020240512104535168653</v>
      </c>
      <c r="F1818" s="9"/>
    </row>
    <row r="1819" s="2" customFormat="1" ht="30" customHeight="1" spans="1:6">
      <c r="A1819" s="9">
        <v>1816</v>
      </c>
      <c r="B1819" s="10" t="s">
        <v>1230</v>
      </c>
      <c r="C1819" s="10" t="s">
        <v>1231</v>
      </c>
      <c r="D1819" s="10" t="s">
        <v>1815</v>
      </c>
      <c r="E1819" s="10" t="str">
        <f>"644020240513203136176834"</f>
        <v>644020240513203136176834</v>
      </c>
      <c r="F1819" s="9"/>
    </row>
    <row r="1820" s="2" customFormat="1" ht="30" customHeight="1" spans="1:6">
      <c r="A1820" s="9">
        <v>1817</v>
      </c>
      <c r="B1820" s="10" t="s">
        <v>1230</v>
      </c>
      <c r="C1820" s="10" t="s">
        <v>1231</v>
      </c>
      <c r="D1820" s="10" t="s">
        <v>1816</v>
      </c>
      <c r="E1820" s="10" t="str">
        <f>"644020240514125833178951"</f>
        <v>644020240514125833178951</v>
      </c>
      <c r="F1820" s="9"/>
    </row>
    <row r="1821" s="2" customFormat="1" ht="30" customHeight="1" spans="1:6">
      <c r="A1821" s="9">
        <v>1818</v>
      </c>
      <c r="B1821" s="10" t="s">
        <v>1230</v>
      </c>
      <c r="C1821" s="10" t="s">
        <v>1231</v>
      </c>
      <c r="D1821" s="10" t="s">
        <v>1817</v>
      </c>
      <c r="E1821" s="10" t="str">
        <f>"644020240514131122178988"</f>
        <v>644020240514131122178988</v>
      </c>
      <c r="F1821" s="9"/>
    </row>
    <row r="1822" s="2" customFormat="1" ht="30" customHeight="1" spans="1:6">
      <c r="A1822" s="9">
        <v>1819</v>
      </c>
      <c r="B1822" s="10" t="s">
        <v>1230</v>
      </c>
      <c r="C1822" s="10" t="s">
        <v>1231</v>
      </c>
      <c r="D1822" s="10" t="s">
        <v>1818</v>
      </c>
      <c r="E1822" s="10" t="str">
        <f>"644020240513141542174878"</f>
        <v>644020240513141542174878</v>
      </c>
      <c r="F1822" s="9"/>
    </row>
    <row r="1823" s="2" customFormat="1" ht="30" customHeight="1" spans="1:6">
      <c r="A1823" s="9">
        <v>1820</v>
      </c>
      <c r="B1823" s="10" t="s">
        <v>1230</v>
      </c>
      <c r="C1823" s="10" t="s">
        <v>1231</v>
      </c>
      <c r="D1823" s="10" t="s">
        <v>1819</v>
      </c>
      <c r="E1823" s="10" t="str">
        <f>"644020240513131926174613"</f>
        <v>644020240513131926174613</v>
      </c>
      <c r="F1823" s="9"/>
    </row>
    <row r="1824" s="2" customFormat="1" ht="30" customHeight="1" spans="1:6">
      <c r="A1824" s="9">
        <v>1821</v>
      </c>
      <c r="B1824" s="10" t="s">
        <v>1230</v>
      </c>
      <c r="C1824" s="10" t="s">
        <v>1231</v>
      </c>
      <c r="D1824" s="10" t="s">
        <v>1820</v>
      </c>
      <c r="E1824" s="10" t="str">
        <f>"644020240514131650179000"</f>
        <v>644020240514131650179000</v>
      </c>
      <c r="F1824" s="9"/>
    </row>
    <row r="1825" s="2" customFormat="1" ht="30" customHeight="1" spans="1:6">
      <c r="A1825" s="9">
        <v>1822</v>
      </c>
      <c r="B1825" s="10" t="s">
        <v>1230</v>
      </c>
      <c r="C1825" s="10" t="s">
        <v>1231</v>
      </c>
      <c r="D1825" s="10" t="s">
        <v>1821</v>
      </c>
      <c r="E1825" s="10" t="str">
        <f>"644020240514132226179013"</f>
        <v>644020240514132226179013</v>
      </c>
      <c r="F1825" s="9"/>
    </row>
    <row r="1826" s="2" customFormat="1" ht="30" customHeight="1" spans="1:6">
      <c r="A1826" s="9">
        <v>1823</v>
      </c>
      <c r="B1826" s="10" t="s">
        <v>1230</v>
      </c>
      <c r="C1826" s="10" t="s">
        <v>1231</v>
      </c>
      <c r="D1826" s="10" t="s">
        <v>1822</v>
      </c>
      <c r="E1826" s="10" t="str">
        <f>"644020240514110802178629"</f>
        <v>644020240514110802178629</v>
      </c>
      <c r="F1826" s="9"/>
    </row>
    <row r="1827" s="2" customFormat="1" ht="30" customHeight="1" spans="1:6">
      <c r="A1827" s="9">
        <v>1824</v>
      </c>
      <c r="B1827" s="10" t="s">
        <v>1230</v>
      </c>
      <c r="C1827" s="10" t="s">
        <v>1231</v>
      </c>
      <c r="D1827" s="10" t="s">
        <v>1823</v>
      </c>
      <c r="E1827" s="10" t="str">
        <f>"644020240514133604179036"</f>
        <v>644020240514133604179036</v>
      </c>
      <c r="F1827" s="9"/>
    </row>
    <row r="1828" s="2" customFormat="1" ht="30" customHeight="1" spans="1:6">
      <c r="A1828" s="9">
        <v>1825</v>
      </c>
      <c r="B1828" s="10" t="s">
        <v>1230</v>
      </c>
      <c r="C1828" s="10" t="s">
        <v>1231</v>
      </c>
      <c r="D1828" s="10" t="s">
        <v>822</v>
      </c>
      <c r="E1828" s="10" t="str">
        <f>"644020240514124249178919"</f>
        <v>644020240514124249178919</v>
      </c>
      <c r="F1828" s="9"/>
    </row>
    <row r="1829" s="2" customFormat="1" ht="30" customHeight="1" spans="1:6">
      <c r="A1829" s="9">
        <v>1826</v>
      </c>
      <c r="B1829" s="10" t="s">
        <v>1230</v>
      </c>
      <c r="C1829" s="10" t="s">
        <v>1231</v>
      </c>
      <c r="D1829" s="10" t="s">
        <v>1824</v>
      </c>
      <c r="E1829" s="10" t="str">
        <f>"644020240514132258179014"</f>
        <v>644020240514132258179014</v>
      </c>
      <c r="F1829" s="9"/>
    </row>
    <row r="1830" s="2" customFormat="1" ht="30" customHeight="1" spans="1:6">
      <c r="A1830" s="9">
        <v>1827</v>
      </c>
      <c r="B1830" s="10" t="s">
        <v>1230</v>
      </c>
      <c r="C1830" s="10" t="s">
        <v>1231</v>
      </c>
      <c r="D1830" s="10" t="s">
        <v>1825</v>
      </c>
      <c r="E1830" s="10" t="str">
        <f>"644020240514002909177678"</f>
        <v>644020240514002909177678</v>
      </c>
      <c r="F1830" s="9"/>
    </row>
    <row r="1831" s="2" customFormat="1" ht="30" customHeight="1" spans="1:6">
      <c r="A1831" s="9">
        <v>1828</v>
      </c>
      <c r="B1831" s="10" t="s">
        <v>1230</v>
      </c>
      <c r="C1831" s="10" t="s">
        <v>1231</v>
      </c>
      <c r="D1831" s="10" t="s">
        <v>1826</v>
      </c>
      <c r="E1831" s="10" t="str">
        <f>"644020240513105035173607"</f>
        <v>644020240513105035173607</v>
      </c>
      <c r="F1831" s="9"/>
    </row>
    <row r="1832" s="2" customFormat="1" ht="30" customHeight="1" spans="1:6">
      <c r="A1832" s="9">
        <v>1829</v>
      </c>
      <c r="B1832" s="10" t="s">
        <v>1230</v>
      </c>
      <c r="C1832" s="10" t="s">
        <v>1231</v>
      </c>
      <c r="D1832" s="10" t="s">
        <v>1827</v>
      </c>
      <c r="E1832" s="10" t="str">
        <f>"644020240513223936177402"</f>
        <v>644020240513223936177402</v>
      </c>
      <c r="F1832" s="9"/>
    </row>
    <row r="1833" s="2" customFormat="1" ht="30" customHeight="1" spans="1:6">
      <c r="A1833" s="9">
        <v>1830</v>
      </c>
      <c r="B1833" s="10" t="s">
        <v>1230</v>
      </c>
      <c r="C1833" s="10" t="s">
        <v>1231</v>
      </c>
      <c r="D1833" s="10" t="s">
        <v>1828</v>
      </c>
      <c r="E1833" s="10" t="str">
        <f>"644020240514125950178957"</f>
        <v>644020240514125950178957</v>
      </c>
      <c r="F1833" s="9"/>
    </row>
    <row r="1834" s="2" customFormat="1" ht="30" customHeight="1" spans="1:6">
      <c r="A1834" s="9">
        <v>1831</v>
      </c>
      <c r="B1834" s="10" t="s">
        <v>1230</v>
      </c>
      <c r="C1834" s="10" t="s">
        <v>1231</v>
      </c>
      <c r="D1834" s="10" t="s">
        <v>1829</v>
      </c>
      <c r="E1834" s="10" t="str">
        <f>"644020240513224940177449"</f>
        <v>644020240513224940177449</v>
      </c>
      <c r="F1834" s="9"/>
    </row>
    <row r="1835" s="2" customFormat="1" ht="30" customHeight="1" spans="1:6">
      <c r="A1835" s="9">
        <v>1832</v>
      </c>
      <c r="B1835" s="10" t="s">
        <v>1230</v>
      </c>
      <c r="C1835" s="10" t="s">
        <v>1231</v>
      </c>
      <c r="D1835" s="10" t="s">
        <v>1830</v>
      </c>
      <c r="E1835" s="10" t="str">
        <f>"644020240514102410178396"</f>
        <v>644020240514102410178396</v>
      </c>
      <c r="F1835" s="9"/>
    </row>
    <row r="1836" s="2" customFormat="1" ht="30" customHeight="1" spans="1:6">
      <c r="A1836" s="9">
        <v>1833</v>
      </c>
      <c r="B1836" s="10" t="s">
        <v>1230</v>
      </c>
      <c r="C1836" s="10" t="s">
        <v>1231</v>
      </c>
      <c r="D1836" s="10" t="s">
        <v>1831</v>
      </c>
      <c r="E1836" s="10" t="str">
        <f>"644020240514143311179132"</f>
        <v>644020240514143311179132</v>
      </c>
      <c r="F1836" s="9"/>
    </row>
    <row r="1837" s="2" customFormat="1" ht="30" customHeight="1" spans="1:6">
      <c r="A1837" s="9">
        <v>1834</v>
      </c>
      <c r="B1837" s="10" t="s">
        <v>1230</v>
      </c>
      <c r="C1837" s="10" t="s">
        <v>1231</v>
      </c>
      <c r="D1837" s="10" t="s">
        <v>1832</v>
      </c>
      <c r="E1837" s="10" t="str">
        <f>"644020240514122609178889"</f>
        <v>644020240514122609178889</v>
      </c>
      <c r="F1837" s="9"/>
    </row>
    <row r="1838" s="2" customFormat="1" ht="30" customHeight="1" spans="1:6">
      <c r="A1838" s="9">
        <v>1835</v>
      </c>
      <c r="B1838" s="10" t="s">
        <v>1230</v>
      </c>
      <c r="C1838" s="10" t="s">
        <v>1231</v>
      </c>
      <c r="D1838" s="10" t="s">
        <v>1833</v>
      </c>
      <c r="E1838" s="10" t="str">
        <f>"644020240513234021177603"</f>
        <v>644020240513234021177603</v>
      </c>
      <c r="F1838" s="9"/>
    </row>
    <row r="1839" s="2" customFormat="1" ht="30" customHeight="1" spans="1:6">
      <c r="A1839" s="9">
        <v>1836</v>
      </c>
      <c r="B1839" s="10" t="s">
        <v>1230</v>
      </c>
      <c r="C1839" s="10" t="s">
        <v>1231</v>
      </c>
      <c r="D1839" s="10" t="s">
        <v>1834</v>
      </c>
      <c r="E1839" s="10" t="str">
        <f>"644020240514103158178441"</f>
        <v>644020240514103158178441</v>
      </c>
      <c r="F1839" s="9"/>
    </row>
    <row r="1840" s="2" customFormat="1" ht="30" customHeight="1" spans="1:6">
      <c r="A1840" s="9">
        <v>1837</v>
      </c>
      <c r="B1840" s="10" t="s">
        <v>1230</v>
      </c>
      <c r="C1840" s="10" t="s">
        <v>1231</v>
      </c>
      <c r="D1840" s="10" t="s">
        <v>344</v>
      </c>
      <c r="E1840" s="10" t="str">
        <f>"644020240514144028179148"</f>
        <v>644020240514144028179148</v>
      </c>
      <c r="F1840" s="9"/>
    </row>
    <row r="1841" s="2" customFormat="1" ht="30" customHeight="1" spans="1:6">
      <c r="A1841" s="9">
        <v>1838</v>
      </c>
      <c r="B1841" s="10" t="s">
        <v>1230</v>
      </c>
      <c r="C1841" s="10" t="s">
        <v>1231</v>
      </c>
      <c r="D1841" s="10" t="s">
        <v>1835</v>
      </c>
      <c r="E1841" s="10" t="str">
        <f>"644020240514144319179154"</f>
        <v>644020240514144319179154</v>
      </c>
      <c r="F1841" s="9"/>
    </row>
    <row r="1842" s="2" customFormat="1" ht="30" customHeight="1" spans="1:6">
      <c r="A1842" s="9">
        <v>1839</v>
      </c>
      <c r="B1842" s="10" t="s">
        <v>1230</v>
      </c>
      <c r="C1842" s="10" t="s">
        <v>1231</v>
      </c>
      <c r="D1842" s="10" t="s">
        <v>1836</v>
      </c>
      <c r="E1842" s="10" t="str">
        <f>"644020240514103608178470"</f>
        <v>644020240514103608178470</v>
      </c>
      <c r="F1842" s="9"/>
    </row>
    <row r="1843" s="2" customFormat="1" ht="30" customHeight="1" spans="1:6">
      <c r="A1843" s="9">
        <v>1840</v>
      </c>
      <c r="B1843" s="10" t="s">
        <v>1230</v>
      </c>
      <c r="C1843" s="10" t="s">
        <v>1231</v>
      </c>
      <c r="D1843" s="10" t="s">
        <v>509</v>
      </c>
      <c r="E1843" s="10" t="str">
        <f>"644020240514120019178824"</f>
        <v>644020240514120019178824</v>
      </c>
      <c r="F1843" s="9"/>
    </row>
    <row r="1844" s="2" customFormat="1" ht="30" customHeight="1" spans="1:6">
      <c r="A1844" s="9">
        <v>1841</v>
      </c>
      <c r="B1844" s="10" t="s">
        <v>1230</v>
      </c>
      <c r="C1844" s="10" t="s">
        <v>1231</v>
      </c>
      <c r="D1844" s="10" t="s">
        <v>1837</v>
      </c>
      <c r="E1844" s="10" t="str">
        <f>"644020240513090036172489"</f>
        <v>644020240513090036172489</v>
      </c>
      <c r="F1844" s="9"/>
    </row>
    <row r="1845" s="2" customFormat="1" ht="30" customHeight="1" spans="1:6">
      <c r="A1845" s="9">
        <v>1842</v>
      </c>
      <c r="B1845" s="10" t="s">
        <v>1230</v>
      </c>
      <c r="C1845" s="10" t="s">
        <v>1231</v>
      </c>
      <c r="D1845" s="10" t="s">
        <v>1838</v>
      </c>
      <c r="E1845" s="10" t="str">
        <f>"644020240513120405174158"</f>
        <v>644020240513120405174158</v>
      </c>
      <c r="F1845" s="9"/>
    </row>
    <row r="1846" s="2" customFormat="1" ht="30" customHeight="1" spans="1:6">
      <c r="A1846" s="9">
        <v>1843</v>
      </c>
      <c r="B1846" s="10" t="s">
        <v>1230</v>
      </c>
      <c r="C1846" s="10" t="s">
        <v>1231</v>
      </c>
      <c r="D1846" s="10" t="s">
        <v>1839</v>
      </c>
      <c r="E1846" s="10" t="str">
        <f>"644020240514144315179153"</f>
        <v>644020240514144315179153</v>
      </c>
      <c r="F1846" s="9"/>
    </row>
    <row r="1847" s="2" customFormat="1" ht="30" customHeight="1" spans="1:6">
      <c r="A1847" s="9">
        <v>1844</v>
      </c>
      <c r="B1847" s="10" t="s">
        <v>1230</v>
      </c>
      <c r="C1847" s="10" t="s">
        <v>1231</v>
      </c>
      <c r="D1847" s="10" t="s">
        <v>1840</v>
      </c>
      <c r="E1847" s="10" t="str">
        <f>"644020240514150733179228"</f>
        <v>644020240514150733179228</v>
      </c>
      <c r="F1847" s="9"/>
    </row>
    <row r="1848" s="2" customFormat="1" ht="30" customHeight="1" spans="1:6">
      <c r="A1848" s="9">
        <v>1845</v>
      </c>
      <c r="B1848" s="10" t="s">
        <v>1230</v>
      </c>
      <c r="C1848" s="10" t="s">
        <v>1231</v>
      </c>
      <c r="D1848" s="10" t="s">
        <v>1841</v>
      </c>
      <c r="E1848" s="10" t="str">
        <f>"644020240514150813179229"</f>
        <v>644020240514150813179229</v>
      </c>
      <c r="F1848" s="9"/>
    </row>
    <row r="1849" s="2" customFormat="1" ht="30" customHeight="1" spans="1:6">
      <c r="A1849" s="9">
        <v>1846</v>
      </c>
      <c r="B1849" s="10" t="s">
        <v>1230</v>
      </c>
      <c r="C1849" s="10" t="s">
        <v>1231</v>
      </c>
      <c r="D1849" s="10" t="s">
        <v>1842</v>
      </c>
      <c r="E1849" s="10" t="str">
        <f>"644020240514143608179138"</f>
        <v>644020240514143608179138</v>
      </c>
      <c r="F1849" s="9"/>
    </row>
    <row r="1850" s="2" customFormat="1" ht="30" customHeight="1" spans="1:6">
      <c r="A1850" s="9">
        <v>1847</v>
      </c>
      <c r="B1850" s="10" t="s">
        <v>1230</v>
      </c>
      <c r="C1850" s="10" t="s">
        <v>1231</v>
      </c>
      <c r="D1850" s="10" t="s">
        <v>1843</v>
      </c>
      <c r="E1850" s="10" t="str">
        <f>"644020240513171942176186"</f>
        <v>644020240513171942176186</v>
      </c>
      <c r="F1850" s="9"/>
    </row>
    <row r="1851" s="2" customFormat="1" ht="30" customHeight="1" spans="1:6">
      <c r="A1851" s="9">
        <v>1848</v>
      </c>
      <c r="B1851" s="10" t="s">
        <v>1230</v>
      </c>
      <c r="C1851" s="10" t="s">
        <v>1231</v>
      </c>
      <c r="D1851" s="10" t="s">
        <v>1844</v>
      </c>
      <c r="E1851" s="10" t="str">
        <f>"644020240514090315177976"</f>
        <v>644020240514090315177976</v>
      </c>
      <c r="F1851" s="9"/>
    </row>
    <row r="1852" s="2" customFormat="1" ht="30" customHeight="1" spans="1:6">
      <c r="A1852" s="9">
        <v>1849</v>
      </c>
      <c r="B1852" s="10" t="s">
        <v>1230</v>
      </c>
      <c r="C1852" s="10" t="s">
        <v>1231</v>
      </c>
      <c r="D1852" s="10" t="s">
        <v>1845</v>
      </c>
      <c r="E1852" s="10" t="str">
        <f>"644020240513100516173162"</f>
        <v>644020240513100516173162</v>
      </c>
      <c r="F1852" s="9"/>
    </row>
    <row r="1853" s="2" customFormat="1" ht="30" customHeight="1" spans="1:6">
      <c r="A1853" s="9">
        <v>1850</v>
      </c>
      <c r="B1853" s="10" t="s">
        <v>1230</v>
      </c>
      <c r="C1853" s="10" t="s">
        <v>1231</v>
      </c>
      <c r="D1853" s="10" t="s">
        <v>1846</v>
      </c>
      <c r="E1853" s="10" t="str">
        <f>"644020240513095815173100"</f>
        <v>644020240513095815173100</v>
      </c>
      <c r="F1853" s="9"/>
    </row>
    <row r="1854" s="2" customFormat="1" ht="30" customHeight="1" spans="1:6">
      <c r="A1854" s="9">
        <v>1851</v>
      </c>
      <c r="B1854" s="10" t="s">
        <v>1230</v>
      </c>
      <c r="C1854" s="10" t="s">
        <v>1231</v>
      </c>
      <c r="D1854" s="10" t="s">
        <v>1847</v>
      </c>
      <c r="E1854" s="10" t="str">
        <f>"644020240514144544179161"</f>
        <v>644020240514144544179161</v>
      </c>
      <c r="F1854" s="9"/>
    </row>
    <row r="1855" s="2" customFormat="1" ht="30" customHeight="1" spans="1:6">
      <c r="A1855" s="9">
        <v>1852</v>
      </c>
      <c r="B1855" s="10" t="s">
        <v>1230</v>
      </c>
      <c r="C1855" s="10" t="s">
        <v>1231</v>
      </c>
      <c r="D1855" s="10" t="s">
        <v>1848</v>
      </c>
      <c r="E1855" s="10" t="str">
        <f>"644020240514145208179184"</f>
        <v>644020240514145208179184</v>
      </c>
      <c r="F1855" s="9"/>
    </row>
    <row r="1856" s="2" customFormat="1" ht="30" customHeight="1" spans="1:6">
      <c r="A1856" s="9">
        <v>1853</v>
      </c>
      <c r="B1856" s="10" t="s">
        <v>1230</v>
      </c>
      <c r="C1856" s="10" t="s">
        <v>1231</v>
      </c>
      <c r="D1856" s="10" t="s">
        <v>1849</v>
      </c>
      <c r="E1856" s="10" t="str">
        <f>"644020240514142037179117"</f>
        <v>644020240514142037179117</v>
      </c>
      <c r="F1856" s="9"/>
    </row>
    <row r="1857" s="2" customFormat="1" ht="30" customHeight="1" spans="1:6">
      <c r="A1857" s="9">
        <v>1854</v>
      </c>
      <c r="B1857" s="10" t="s">
        <v>1230</v>
      </c>
      <c r="C1857" s="10" t="s">
        <v>1231</v>
      </c>
      <c r="D1857" s="10" t="s">
        <v>1850</v>
      </c>
      <c r="E1857" s="10" t="str">
        <f>"644020240514094109178174"</f>
        <v>644020240514094109178174</v>
      </c>
      <c r="F1857" s="9"/>
    </row>
    <row r="1858" s="2" customFormat="1" ht="30" customHeight="1" spans="1:6">
      <c r="A1858" s="9">
        <v>1855</v>
      </c>
      <c r="B1858" s="10" t="s">
        <v>1230</v>
      </c>
      <c r="C1858" s="10" t="s">
        <v>1231</v>
      </c>
      <c r="D1858" s="10" t="s">
        <v>1851</v>
      </c>
      <c r="E1858" s="10" t="str">
        <f>"644020240514150714179227"</f>
        <v>644020240514150714179227</v>
      </c>
      <c r="F1858" s="9"/>
    </row>
    <row r="1859" s="2" customFormat="1" ht="30" customHeight="1" spans="1:6">
      <c r="A1859" s="9">
        <v>1856</v>
      </c>
      <c r="B1859" s="10" t="s">
        <v>1230</v>
      </c>
      <c r="C1859" s="10" t="s">
        <v>1231</v>
      </c>
      <c r="D1859" s="10" t="s">
        <v>1852</v>
      </c>
      <c r="E1859" s="10" t="str">
        <f>"644020240514135654179067"</f>
        <v>644020240514135654179067</v>
      </c>
      <c r="F1859" s="9"/>
    </row>
    <row r="1860" s="2" customFormat="1" ht="30" customHeight="1" spans="1:6">
      <c r="A1860" s="9">
        <v>1857</v>
      </c>
      <c r="B1860" s="10" t="s">
        <v>1230</v>
      </c>
      <c r="C1860" s="10" t="s">
        <v>1231</v>
      </c>
      <c r="D1860" s="10" t="s">
        <v>188</v>
      </c>
      <c r="E1860" s="10" t="str">
        <f>"644020240514135958179074"</f>
        <v>644020240514135958179074</v>
      </c>
      <c r="F1860" s="9"/>
    </row>
    <row r="1861" s="2" customFormat="1" ht="30" customHeight="1" spans="1:6">
      <c r="A1861" s="9">
        <v>1858</v>
      </c>
      <c r="B1861" s="10" t="s">
        <v>1230</v>
      </c>
      <c r="C1861" s="10" t="s">
        <v>1231</v>
      </c>
      <c r="D1861" s="10" t="s">
        <v>1853</v>
      </c>
      <c r="E1861" s="10" t="str">
        <f>"644020240514153042179299"</f>
        <v>644020240514153042179299</v>
      </c>
      <c r="F1861" s="9"/>
    </row>
    <row r="1862" s="2" customFormat="1" ht="30" customHeight="1" spans="1:6">
      <c r="A1862" s="9">
        <v>1859</v>
      </c>
      <c r="B1862" s="10" t="s">
        <v>1230</v>
      </c>
      <c r="C1862" s="10" t="s">
        <v>1231</v>
      </c>
      <c r="D1862" s="10" t="s">
        <v>1854</v>
      </c>
      <c r="E1862" s="10" t="str">
        <f>"644020240513163423175964"</f>
        <v>644020240513163423175964</v>
      </c>
      <c r="F1862" s="9"/>
    </row>
    <row r="1863" s="2" customFormat="1" ht="30" customHeight="1" spans="1:6">
      <c r="A1863" s="9">
        <v>1860</v>
      </c>
      <c r="B1863" s="10" t="s">
        <v>1230</v>
      </c>
      <c r="C1863" s="10" t="s">
        <v>1231</v>
      </c>
      <c r="D1863" s="10" t="s">
        <v>1855</v>
      </c>
      <c r="E1863" s="10" t="str">
        <f>"644020240514103559178467"</f>
        <v>644020240514103559178467</v>
      </c>
      <c r="F1863" s="9"/>
    </row>
    <row r="1864" s="2" customFormat="1" ht="30" customHeight="1" spans="1:6">
      <c r="A1864" s="9">
        <v>1861</v>
      </c>
      <c r="B1864" s="10" t="s">
        <v>1230</v>
      </c>
      <c r="C1864" s="10" t="s">
        <v>1231</v>
      </c>
      <c r="D1864" s="10" t="s">
        <v>1856</v>
      </c>
      <c r="E1864" s="10" t="str">
        <f>"644020240514153440179319"</f>
        <v>644020240514153440179319</v>
      </c>
      <c r="F1864" s="9"/>
    </row>
    <row r="1865" s="2" customFormat="1" ht="30" customHeight="1" spans="1:6">
      <c r="A1865" s="9">
        <v>1862</v>
      </c>
      <c r="B1865" s="10" t="s">
        <v>1230</v>
      </c>
      <c r="C1865" s="10" t="s">
        <v>1231</v>
      </c>
      <c r="D1865" s="10" t="s">
        <v>1857</v>
      </c>
      <c r="E1865" s="10" t="str">
        <f>"644020240514154640179356"</f>
        <v>644020240514154640179356</v>
      </c>
      <c r="F1865" s="9"/>
    </row>
    <row r="1866" s="2" customFormat="1" ht="30" customHeight="1" spans="1:6">
      <c r="A1866" s="9">
        <v>1863</v>
      </c>
      <c r="B1866" s="10" t="s">
        <v>1230</v>
      </c>
      <c r="C1866" s="10" t="s">
        <v>1231</v>
      </c>
      <c r="D1866" s="10" t="s">
        <v>1858</v>
      </c>
      <c r="E1866" s="10" t="str">
        <f>"644020240513091521172642"</f>
        <v>644020240513091521172642</v>
      </c>
      <c r="F1866" s="9"/>
    </row>
    <row r="1867" s="2" customFormat="1" ht="30" customHeight="1" spans="1:6">
      <c r="A1867" s="9">
        <v>1864</v>
      </c>
      <c r="B1867" s="10" t="s">
        <v>1230</v>
      </c>
      <c r="C1867" s="10" t="s">
        <v>1231</v>
      </c>
      <c r="D1867" s="10" t="s">
        <v>1859</v>
      </c>
      <c r="E1867" s="10" t="str">
        <f>"644020240514105531178580"</f>
        <v>644020240514105531178580</v>
      </c>
      <c r="F1867" s="9"/>
    </row>
    <row r="1868" s="2" customFormat="1" ht="30" customHeight="1" spans="1:6">
      <c r="A1868" s="9">
        <v>1865</v>
      </c>
      <c r="B1868" s="10" t="s">
        <v>1230</v>
      </c>
      <c r="C1868" s="10" t="s">
        <v>1231</v>
      </c>
      <c r="D1868" s="10" t="s">
        <v>1860</v>
      </c>
      <c r="E1868" s="10" t="str">
        <f>"644020240514153759179334"</f>
        <v>644020240514153759179334</v>
      </c>
      <c r="F1868" s="9"/>
    </row>
    <row r="1869" s="2" customFormat="1" ht="30" customHeight="1" spans="1:6">
      <c r="A1869" s="9">
        <v>1866</v>
      </c>
      <c r="B1869" s="10" t="s">
        <v>1230</v>
      </c>
      <c r="C1869" s="10" t="s">
        <v>1231</v>
      </c>
      <c r="D1869" s="10" t="s">
        <v>1861</v>
      </c>
      <c r="E1869" s="10" t="str">
        <f>"644020240514143843179145"</f>
        <v>644020240514143843179145</v>
      </c>
      <c r="F1869" s="9"/>
    </row>
    <row r="1870" s="2" customFormat="1" ht="30" customHeight="1" spans="1:6">
      <c r="A1870" s="9">
        <v>1867</v>
      </c>
      <c r="B1870" s="10" t="s">
        <v>1230</v>
      </c>
      <c r="C1870" s="10" t="s">
        <v>1231</v>
      </c>
      <c r="D1870" s="10" t="s">
        <v>1862</v>
      </c>
      <c r="E1870" s="10" t="str">
        <f>"644020240514140215179078"</f>
        <v>644020240514140215179078</v>
      </c>
      <c r="F1870" s="9"/>
    </row>
    <row r="1871" s="2" customFormat="1" ht="30" customHeight="1" spans="1:6">
      <c r="A1871" s="9">
        <v>1868</v>
      </c>
      <c r="B1871" s="10" t="s">
        <v>1230</v>
      </c>
      <c r="C1871" s="10" t="s">
        <v>1231</v>
      </c>
      <c r="D1871" s="10" t="s">
        <v>1863</v>
      </c>
      <c r="E1871" s="10" t="str">
        <f>"644020240514155754179392"</f>
        <v>644020240514155754179392</v>
      </c>
      <c r="F1871" s="9"/>
    </row>
    <row r="1872" s="2" customFormat="1" ht="30" customHeight="1" spans="1:6">
      <c r="A1872" s="9">
        <v>1869</v>
      </c>
      <c r="B1872" s="10" t="s">
        <v>1230</v>
      </c>
      <c r="C1872" s="10" t="s">
        <v>1231</v>
      </c>
      <c r="D1872" s="10" t="s">
        <v>1864</v>
      </c>
      <c r="E1872" s="10" t="str">
        <f>"644020240512095505168350"</f>
        <v>644020240512095505168350</v>
      </c>
      <c r="F1872" s="9"/>
    </row>
    <row r="1873" s="2" customFormat="1" ht="30" customHeight="1" spans="1:6">
      <c r="A1873" s="9">
        <v>1870</v>
      </c>
      <c r="B1873" s="10" t="s">
        <v>1230</v>
      </c>
      <c r="C1873" s="10" t="s">
        <v>1231</v>
      </c>
      <c r="D1873" s="10" t="s">
        <v>1865</v>
      </c>
      <c r="E1873" s="10" t="str">
        <f>"644020240514121250178854"</f>
        <v>644020240514121250178854</v>
      </c>
      <c r="F1873" s="9"/>
    </row>
    <row r="1874" s="2" customFormat="1" ht="30" customHeight="1" spans="1:6">
      <c r="A1874" s="9">
        <v>1871</v>
      </c>
      <c r="B1874" s="10" t="s">
        <v>1230</v>
      </c>
      <c r="C1874" s="10" t="s">
        <v>1231</v>
      </c>
      <c r="D1874" s="10" t="s">
        <v>1866</v>
      </c>
      <c r="E1874" s="10" t="str">
        <f>"644020240513195225176701"</f>
        <v>644020240513195225176701</v>
      </c>
      <c r="F1874" s="9"/>
    </row>
    <row r="1875" s="2" customFormat="1" ht="30" customHeight="1" spans="1:6">
      <c r="A1875" s="9">
        <v>1872</v>
      </c>
      <c r="B1875" s="10" t="s">
        <v>1230</v>
      </c>
      <c r="C1875" s="10" t="s">
        <v>1231</v>
      </c>
      <c r="D1875" s="10" t="s">
        <v>1867</v>
      </c>
      <c r="E1875" s="10" t="str">
        <f>"644020240514153640179327"</f>
        <v>644020240514153640179327</v>
      </c>
      <c r="F1875" s="9"/>
    </row>
    <row r="1876" s="2" customFormat="1" ht="30" customHeight="1" spans="1:6">
      <c r="A1876" s="9">
        <v>1873</v>
      </c>
      <c r="B1876" s="10" t="s">
        <v>1230</v>
      </c>
      <c r="C1876" s="10" t="s">
        <v>1231</v>
      </c>
      <c r="D1876" s="10" t="s">
        <v>1868</v>
      </c>
      <c r="E1876" s="10" t="str">
        <f>"644020240514125913178954"</f>
        <v>644020240514125913178954</v>
      </c>
      <c r="F1876" s="9"/>
    </row>
    <row r="1877" s="2" customFormat="1" ht="30" customHeight="1" spans="1:6">
      <c r="A1877" s="9">
        <v>1874</v>
      </c>
      <c r="B1877" s="10" t="s">
        <v>1230</v>
      </c>
      <c r="C1877" s="10" t="s">
        <v>1231</v>
      </c>
      <c r="D1877" s="10" t="s">
        <v>1869</v>
      </c>
      <c r="E1877" s="10" t="str">
        <f>"644020240514152532179277"</f>
        <v>644020240514152532179277</v>
      </c>
      <c r="F1877" s="9"/>
    </row>
    <row r="1878" s="2" customFormat="1" ht="30" customHeight="1" spans="1:6">
      <c r="A1878" s="9">
        <v>1875</v>
      </c>
      <c r="B1878" s="10" t="s">
        <v>1230</v>
      </c>
      <c r="C1878" s="10" t="s">
        <v>1231</v>
      </c>
      <c r="D1878" s="10" t="s">
        <v>1870</v>
      </c>
      <c r="E1878" s="10" t="str">
        <f>"644020240514161000179427"</f>
        <v>644020240514161000179427</v>
      </c>
      <c r="F1878" s="9"/>
    </row>
    <row r="1879" s="2" customFormat="1" ht="30" customHeight="1" spans="1:6">
      <c r="A1879" s="9">
        <v>1876</v>
      </c>
      <c r="B1879" s="10" t="s">
        <v>1230</v>
      </c>
      <c r="C1879" s="10" t="s">
        <v>1231</v>
      </c>
      <c r="D1879" s="10" t="s">
        <v>1871</v>
      </c>
      <c r="E1879" s="10" t="str">
        <f>"644020240514131244178989"</f>
        <v>644020240514131244178989</v>
      </c>
      <c r="F1879" s="9"/>
    </row>
    <row r="1880" s="2" customFormat="1" ht="30" customHeight="1" spans="1:6">
      <c r="A1880" s="9">
        <v>1877</v>
      </c>
      <c r="B1880" s="10" t="s">
        <v>1230</v>
      </c>
      <c r="C1880" s="10" t="s">
        <v>1231</v>
      </c>
      <c r="D1880" s="10" t="s">
        <v>1872</v>
      </c>
      <c r="E1880" s="10" t="str">
        <f>"644020240514145615179197"</f>
        <v>644020240514145615179197</v>
      </c>
      <c r="F1880" s="9"/>
    </row>
    <row r="1881" s="2" customFormat="1" ht="30" customHeight="1" spans="1:6">
      <c r="A1881" s="9">
        <v>1878</v>
      </c>
      <c r="B1881" s="10" t="s">
        <v>1230</v>
      </c>
      <c r="C1881" s="10" t="s">
        <v>1231</v>
      </c>
      <c r="D1881" s="10" t="s">
        <v>1873</v>
      </c>
      <c r="E1881" s="10" t="str">
        <f>"644020240514161119179433"</f>
        <v>644020240514161119179433</v>
      </c>
      <c r="F1881" s="9"/>
    </row>
    <row r="1882" s="2" customFormat="1" ht="30" customHeight="1" spans="1:6">
      <c r="A1882" s="9">
        <v>1879</v>
      </c>
      <c r="B1882" s="10" t="s">
        <v>1230</v>
      </c>
      <c r="C1882" s="10" t="s">
        <v>1231</v>
      </c>
      <c r="D1882" s="10" t="s">
        <v>1874</v>
      </c>
      <c r="E1882" s="10" t="str">
        <f>"644020240514160920179423"</f>
        <v>644020240514160920179423</v>
      </c>
      <c r="F1882" s="9"/>
    </row>
    <row r="1883" s="2" customFormat="1" ht="30" customHeight="1" spans="1:6">
      <c r="A1883" s="9">
        <v>1880</v>
      </c>
      <c r="B1883" s="10" t="s">
        <v>1230</v>
      </c>
      <c r="C1883" s="10" t="s">
        <v>1231</v>
      </c>
      <c r="D1883" s="10" t="s">
        <v>1875</v>
      </c>
      <c r="E1883" s="10" t="str">
        <f>"644020240514160224179406"</f>
        <v>644020240514160224179406</v>
      </c>
      <c r="F1883" s="9"/>
    </row>
    <row r="1884" s="2" customFormat="1" ht="30" customHeight="1" spans="1:6">
      <c r="A1884" s="9">
        <v>1881</v>
      </c>
      <c r="B1884" s="10" t="s">
        <v>1230</v>
      </c>
      <c r="C1884" s="10" t="s">
        <v>1231</v>
      </c>
      <c r="D1884" s="10" t="s">
        <v>1876</v>
      </c>
      <c r="E1884" s="10" t="str">
        <f>"644020240514154531179352"</f>
        <v>644020240514154531179352</v>
      </c>
      <c r="F1884" s="9"/>
    </row>
    <row r="1885" s="2" customFormat="1" ht="30" customHeight="1" spans="1:6">
      <c r="A1885" s="9">
        <v>1882</v>
      </c>
      <c r="B1885" s="10" t="s">
        <v>1230</v>
      </c>
      <c r="C1885" s="10" t="s">
        <v>1231</v>
      </c>
      <c r="D1885" s="10" t="s">
        <v>1877</v>
      </c>
      <c r="E1885" s="10" t="str">
        <f>"644020240514162039179468"</f>
        <v>644020240514162039179468</v>
      </c>
      <c r="F1885" s="9"/>
    </row>
    <row r="1886" s="2" customFormat="1" ht="30" customHeight="1" spans="1:6">
      <c r="A1886" s="9">
        <v>1883</v>
      </c>
      <c r="B1886" s="10" t="s">
        <v>1230</v>
      </c>
      <c r="C1886" s="10" t="s">
        <v>1231</v>
      </c>
      <c r="D1886" s="10" t="s">
        <v>1878</v>
      </c>
      <c r="E1886" s="10" t="str">
        <f>"644020240514163720179525"</f>
        <v>644020240514163720179525</v>
      </c>
      <c r="F1886" s="9"/>
    </row>
    <row r="1887" s="2" customFormat="1" ht="30" customHeight="1" spans="1:6">
      <c r="A1887" s="9">
        <v>1884</v>
      </c>
      <c r="B1887" s="10" t="s">
        <v>1230</v>
      </c>
      <c r="C1887" s="10" t="s">
        <v>1231</v>
      </c>
      <c r="D1887" s="10" t="s">
        <v>1879</v>
      </c>
      <c r="E1887" s="10" t="str">
        <f>"644020240514115102178801"</f>
        <v>644020240514115102178801</v>
      </c>
      <c r="F1887" s="9"/>
    </row>
    <row r="1888" s="2" customFormat="1" ht="30" customHeight="1" spans="1:6">
      <c r="A1888" s="9">
        <v>1885</v>
      </c>
      <c r="B1888" s="10" t="s">
        <v>1230</v>
      </c>
      <c r="C1888" s="10" t="s">
        <v>1231</v>
      </c>
      <c r="D1888" s="10" t="s">
        <v>1880</v>
      </c>
      <c r="E1888" s="10" t="str">
        <f>"644020240514163254179509"</f>
        <v>644020240514163254179509</v>
      </c>
      <c r="F1888" s="9"/>
    </row>
    <row r="1889" s="2" customFormat="1" ht="30" customHeight="1" spans="1:6">
      <c r="A1889" s="9">
        <v>1886</v>
      </c>
      <c r="B1889" s="10" t="s">
        <v>1230</v>
      </c>
      <c r="C1889" s="10" t="s">
        <v>1231</v>
      </c>
      <c r="D1889" s="10" t="s">
        <v>1881</v>
      </c>
      <c r="E1889" s="10" t="str">
        <f>"644020240513153726175538"</f>
        <v>644020240513153726175538</v>
      </c>
      <c r="F1889" s="9"/>
    </row>
    <row r="1890" s="2" customFormat="1" ht="30" customHeight="1" spans="1:6">
      <c r="A1890" s="9">
        <v>1887</v>
      </c>
      <c r="B1890" s="10" t="s">
        <v>1230</v>
      </c>
      <c r="C1890" s="10" t="s">
        <v>1231</v>
      </c>
      <c r="D1890" s="10" t="s">
        <v>1882</v>
      </c>
      <c r="E1890" s="10" t="str">
        <f>"644020240513152037175375"</f>
        <v>644020240513152037175375</v>
      </c>
      <c r="F1890" s="9"/>
    </row>
    <row r="1891" s="2" customFormat="1" ht="30" customHeight="1" spans="1:6">
      <c r="A1891" s="9">
        <v>1888</v>
      </c>
      <c r="B1891" s="10" t="s">
        <v>1230</v>
      </c>
      <c r="C1891" s="10" t="s">
        <v>1231</v>
      </c>
      <c r="D1891" s="10" t="s">
        <v>1883</v>
      </c>
      <c r="E1891" s="10" t="str">
        <f>"644020240514164716179555"</f>
        <v>644020240514164716179555</v>
      </c>
      <c r="F1891" s="9"/>
    </row>
    <row r="1892" s="2" customFormat="1" ht="30" customHeight="1" spans="1:6">
      <c r="A1892" s="9">
        <v>1889</v>
      </c>
      <c r="B1892" s="10" t="s">
        <v>1230</v>
      </c>
      <c r="C1892" s="10" t="s">
        <v>1231</v>
      </c>
      <c r="D1892" s="10" t="s">
        <v>1884</v>
      </c>
      <c r="E1892" s="10" t="str">
        <f>"644020240513201739176785"</f>
        <v>644020240513201739176785</v>
      </c>
      <c r="F1892" s="9"/>
    </row>
    <row r="1893" s="2" customFormat="1" ht="30" customHeight="1" spans="1:6">
      <c r="A1893" s="9">
        <v>1890</v>
      </c>
      <c r="B1893" s="10" t="s">
        <v>1230</v>
      </c>
      <c r="C1893" s="10" t="s">
        <v>1231</v>
      </c>
      <c r="D1893" s="10" t="s">
        <v>1885</v>
      </c>
      <c r="E1893" s="10" t="str">
        <f>"644020240513102242173336"</f>
        <v>644020240513102242173336</v>
      </c>
      <c r="F1893" s="9"/>
    </row>
    <row r="1894" s="2" customFormat="1" ht="30" customHeight="1" spans="1:6">
      <c r="A1894" s="9">
        <v>1891</v>
      </c>
      <c r="B1894" s="10" t="s">
        <v>1230</v>
      </c>
      <c r="C1894" s="10" t="s">
        <v>1231</v>
      </c>
      <c r="D1894" s="10" t="s">
        <v>1886</v>
      </c>
      <c r="E1894" s="10" t="str">
        <f>"644020240514164917179568"</f>
        <v>644020240514164917179568</v>
      </c>
      <c r="F1894" s="9"/>
    </row>
    <row r="1895" s="2" customFormat="1" ht="30" customHeight="1" spans="1:6">
      <c r="A1895" s="9">
        <v>1892</v>
      </c>
      <c r="B1895" s="10" t="s">
        <v>1230</v>
      </c>
      <c r="C1895" s="10" t="s">
        <v>1231</v>
      </c>
      <c r="D1895" s="10" t="s">
        <v>1887</v>
      </c>
      <c r="E1895" s="10" t="str">
        <f>"644020240513165159176058"</f>
        <v>644020240513165159176058</v>
      </c>
      <c r="F1895" s="9"/>
    </row>
    <row r="1896" s="2" customFormat="1" ht="30" customHeight="1" spans="1:6">
      <c r="A1896" s="9">
        <v>1893</v>
      </c>
      <c r="B1896" s="10" t="s">
        <v>1230</v>
      </c>
      <c r="C1896" s="10" t="s">
        <v>1231</v>
      </c>
      <c r="D1896" s="10" t="s">
        <v>1888</v>
      </c>
      <c r="E1896" s="10" t="str">
        <f>"644020240514171505179664"</f>
        <v>644020240514171505179664</v>
      </c>
      <c r="F1896" s="9"/>
    </row>
    <row r="1897" s="2" customFormat="1" ht="30" customHeight="1" spans="1:6">
      <c r="A1897" s="9">
        <v>1894</v>
      </c>
      <c r="B1897" s="10" t="s">
        <v>1230</v>
      </c>
      <c r="C1897" s="10" t="s">
        <v>1231</v>
      </c>
      <c r="D1897" s="10" t="s">
        <v>1889</v>
      </c>
      <c r="E1897" s="10" t="str">
        <f>"644020240514154728179359"</f>
        <v>644020240514154728179359</v>
      </c>
      <c r="F1897" s="9"/>
    </row>
    <row r="1898" s="2" customFormat="1" ht="30" customHeight="1" spans="1:6">
      <c r="A1898" s="9">
        <v>1895</v>
      </c>
      <c r="B1898" s="10" t="s">
        <v>1230</v>
      </c>
      <c r="C1898" s="10" t="s">
        <v>1231</v>
      </c>
      <c r="D1898" s="10" t="s">
        <v>1890</v>
      </c>
      <c r="E1898" s="10" t="str">
        <f>"644020240514171315179657"</f>
        <v>644020240514171315179657</v>
      </c>
      <c r="F1898" s="9"/>
    </row>
    <row r="1899" s="2" customFormat="1" ht="30" customHeight="1" spans="1:6">
      <c r="A1899" s="9">
        <v>1896</v>
      </c>
      <c r="B1899" s="10" t="s">
        <v>1230</v>
      </c>
      <c r="C1899" s="10" t="s">
        <v>1231</v>
      </c>
      <c r="D1899" s="10" t="s">
        <v>1891</v>
      </c>
      <c r="E1899" s="10" t="str">
        <f>"644020240514172617179698"</f>
        <v>644020240514172617179698</v>
      </c>
      <c r="F1899" s="9"/>
    </row>
    <row r="1900" s="2" customFormat="1" ht="30" customHeight="1" spans="1:6">
      <c r="A1900" s="9">
        <v>1897</v>
      </c>
      <c r="B1900" s="10" t="s">
        <v>1230</v>
      </c>
      <c r="C1900" s="10" t="s">
        <v>1231</v>
      </c>
      <c r="D1900" s="10" t="s">
        <v>1892</v>
      </c>
      <c r="E1900" s="10" t="str">
        <f>"644020240514161259179438"</f>
        <v>644020240514161259179438</v>
      </c>
      <c r="F1900" s="9"/>
    </row>
    <row r="1901" s="2" customFormat="1" ht="30" customHeight="1" spans="1:6">
      <c r="A1901" s="9">
        <v>1898</v>
      </c>
      <c r="B1901" s="10" t="s">
        <v>1230</v>
      </c>
      <c r="C1901" s="10" t="s">
        <v>1231</v>
      </c>
      <c r="D1901" s="10" t="s">
        <v>1893</v>
      </c>
      <c r="E1901" s="10" t="str">
        <f>"644020240514175255179759"</f>
        <v>644020240514175255179759</v>
      </c>
      <c r="F1901" s="9"/>
    </row>
    <row r="1902" s="2" customFormat="1" ht="30" customHeight="1" spans="1:6">
      <c r="A1902" s="9">
        <v>1899</v>
      </c>
      <c r="B1902" s="10" t="s">
        <v>1230</v>
      </c>
      <c r="C1902" s="10" t="s">
        <v>1231</v>
      </c>
      <c r="D1902" s="10" t="s">
        <v>1894</v>
      </c>
      <c r="E1902" s="10" t="str">
        <f>"644020240514173417179720"</f>
        <v>644020240514173417179720</v>
      </c>
      <c r="F1902" s="9"/>
    </row>
    <row r="1903" s="2" customFormat="1" ht="30" customHeight="1" spans="1:6">
      <c r="A1903" s="9">
        <v>1900</v>
      </c>
      <c r="B1903" s="10" t="s">
        <v>1230</v>
      </c>
      <c r="C1903" s="10" t="s">
        <v>1231</v>
      </c>
      <c r="D1903" s="10" t="s">
        <v>1895</v>
      </c>
      <c r="E1903" s="10" t="str">
        <f>"644020240514161136179436"</f>
        <v>644020240514161136179436</v>
      </c>
      <c r="F1903" s="9"/>
    </row>
    <row r="1904" s="2" customFormat="1" ht="30" customHeight="1" spans="1:6">
      <c r="A1904" s="9">
        <v>1901</v>
      </c>
      <c r="B1904" s="10" t="s">
        <v>1230</v>
      </c>
      <c r="C1904" s="10" t="s">
        <v>1231</v>
      </c>
      <c r="D1904" s="10" t="s">
        <v>1896</v>
      </c>
      <c r="E1904" s="10" t="str">
        <f>"644020240514174253179739"</f>
        <v>644020240514174253179739</v>
      </c>
      <c r="F1904" s="9"/>
    </row>
    <row r="1905" s="2" customFormat="1" ht="30" customHeight="1" spans="1:6">
      <c r="A1905" s="9">
        <v>1902</v>
      </c>
      <c r="B1905" s="10" t="s">
        <v>1230</v>
      </c>
      <c r="C1905" s="10" t="s">
        <v>1231</v>
      </c>
      <c r="D1905" s="10" t="s">
        <v>1897</v>
      </c>
      <c r="E1905" s="10" t="str">
        <f>"644020240514125840178952"</f>
        <v>644020240514125840178952</v>
      </c>
      <c r="F1905" s="9"/>
    </row>
    <row r="1906" s="2" customFormat="1" ht="30" customHeight="1" spans="1:6">
      <c r="A1906" s="9">
        <v>1903</v>
      </c>
      <c r="B1906" s="10" t="s">
        <v>1230</v>
      </c>
      <c r="C1906" s="10" t="s">
        <v>1231</v>
      </c>
      <c r="D1906" s="10" t="s">
        <v>1898</v>
      </c>
      <c r="E1906" s="10" t="str">
        <f>"644020240513205919176954"</f>
        <v>644020240513205919176954</v>
      </c>
      <c r="F1906" s="9"/>
    </row>
    <row r="1907" s="2" customFormat="1" ht="30" customHeight="1" spans="1:6">
      <c r="A1907" s="9">
        <v>1904</v>
      </c>
      <c r="B1907" s="10" t="s">
        <v>1230</v>
      </c>
      <c r="C1907" s="10" t="s">
        <v>1231</v>
      </c>
      <c r="D1907" s="10" t="s">
        <v>1899</v>
      </c>
      <c r="E1907" s="10" t="str">
        <f>"644020240514182746179829"</f>
        <v>644020240514182746179829</v>
      </c>
      <c r="F1907" s="9"/>
    </row>
    <row r="1908" s="2" customFormat="1" ht="30" customHeight="1" spans="1:6">
      <c r="A1908" s="9">
        <v>1905</v>
      </c>
      <c r="B1908" s="10" t="s">
        <v>1230</v>
      </c>
      <c r="C1908" s="10" t="s">
        <v>1231</v>
      </c>
      <c r="D1908" s="10" t="s">
        <v>1900</v>
      </c>
      <c r="E1908" s="10" t="str">
        <f>"644020240513223017177363"</f>
        <v>644020240513223017177363</v>
      </c>
      <c r="F1908" s="9"/>
    </row>
    <row r="1909" s="2" customFormat="1" ht="30" customHeight="1" spans="1:6">
      <c r="A1909" s="9">
        <v>1906</v>
      </c>
      <c r="B1909" s="10" t="s">
        <v>1230</v>
      </c>
      <c r="C1909" s="10" t="s">
        <v>1231</v>
      </c>
      <c r="D1909" s="10" t="s">
        <v>1901</v>
      </c>
      <c r="E1909" s="10" t="str">
        <f>"644020240514181836179810"</f>
        <v>644020240514181836179810</v>
      </c>
      <c r="F1909" s="9"/>
    </row>
    <row r="1910" s="2" customFormat="1" ht="30" customHeight="1" spans="1:6">
      <c r="A1910" s="9">
        <v>1907</v>
      </c>
      <c r="B1910" s="10" t="s">
        <v>1230</v>
      </c>
      <c r="C1910" s="10" t="s">
        <v>1231</v>
      </c>
      <c r="D1910" s="10" t="s">
        <v>1902</v>
      </c>
      <c r="E1910" s="10" t="str">
        <f>"644020240514184140179849"</f>
        <v>644020240514184140179849</v>
      </c>
      <c r="F1910" s="9"/>
    </row>
    <row r="1911" s="2" customFormat="1" ht="30" customHeight="1" spans="1:6">
      <c r="A1911" s="9">
        <v>1908</v>
      </c>
      <c r="B1911" s="10" t="s">
        <v>1230</v>
      </c>
      <c r="C1911" s="10" t="s">
        <v>1231</v>
      </c>
      <c r="D1911" s="10" t="s">
        <v>1903</v>
      </c>
      <c r="E1911" s="10" t="str">
        <f>"644020240513235038177625"</f>
        <v>644020240513235038177625</v>
      </c>
      <c r="F1911" s="9"/>
    </row>
    <row r="1912" s="2" customFormat="1" ht="30" customHeight="1" spans="1:6">
      <c r="A1912" s="9">
        <v>1909</v>
      </c>
      <c r="B1912" s="10" t="s">
        <v>1230</v>
      </c>
      <c r="C1912" s="10" t="s">
        <v>1231</v>
      </c>
      <c r="D1912" s="10" t="s">
        <v>1904</v>
      </c>
      <c r="E1912" s="10" t="str">
        <f>"644020240514182432179821"</f>
        <v>644020240514182432179821</v>
      </c>
      <c r="F1912" s="9"/>
    </row>
    <row r="1913" s="2" customFormat="1" ht="30" customHeight="1" spans="1:6">
      <c r="A1913" s="9">
        <v>1910</v>
      </c>
      <c r="B1913" s="10" t="s">
        <v>1230</v>
      </c>
      <c r="C1913" s="10" t="s">
        <v>1231</v>
      </c>
      <c r="D1913" s="10" t="s">
        <v>1905</v>
      </c>
      <c r="E1913" s="10" t="str">
        <f>"644020240514184411179856"</f>
        <v>644020240514184411179856</v>
      </c>
      <c r="F1913" s="9"/>
    </row>
    <row r="1914" s="2" customFormat="1" ht="30" customHeight="1" spans="1:6">
      <c r="A1914" s="9">
        <v>1911</v>
      </c>
      <c r="B1914" s="10" t="s">
        <v>1230</v>
      </c>
      <c r="C1914" s="10" t="s">
        <v>1231</v>
      </c>
      <c r="D1914" s="10" t="s">
        <v>1906</v>
      </c>
      <c r="E1914" s="10" t="str">
        <f>"644020240514103847178484"</f>
        <v>644020240514103847178484</v>
      </c>
      <c r="F1914" s="9"/>
    </row>
    <row r="1915" s="2" customFormat="1" ht="30" customHeight="1" spans="1:6">
      <c r="A1915" s="9">
        <v>1912</v>
      </c>
      <c r="B1915" s="10" t="s">
        <v>1230</v>
      </c>
      <c r="C1915" s="10" t="s">
        <v>1231</v>
      </c>
      <c r="D1915" s="10" t="s">
        <v>1907</v>
      </c>
      <c r="E1915" s="10" t="str">
        <f>"644020240514175300179761"</f>
        <v>644020240514175300179761</v>
      </c>
      <c r="F1915" s="9"/>
    </row>
    <row r="1916" s="2" customFormat="1" ht="30" customHeight="1" spans="1:6">
      <c r="A1916" s="9">
        <v>1913</v>
      </c>
      <c r="B1916" s="10" t="s">
        <v>1230</v>
      </c>
      <c r="C1916" s="10" t="s">
        <v>1231</v>
      </c>
      <c r="D1916" s="10" t="s">
        <v>1908</v>
      </c>
      <c r="E1916" s="10" t="str">
        <f>"644020240514180516179787"</f>
        <v>644020240514180516179787</v>
      </c>
      <c r="F1916" s="9"/>
    </row>
    <row r="1917" s="2" customFormat="1" ht="30" customHeight="1" spans="1:6">
      <c r="A1917" s="9">
        <v>1914</v>
      </c>
      <c r="B1917" s="10" t="s">
        <v>1230</v>
      </c>
      <c r="C1917" s="10" t="s">
        <v>1231</v>
      </c>
      <c r="D1917" s="10" t="s">
        <v>1909</v>
      </c>
      <c r="E1917" s="10" t="str">
        <f>"644020240514184615179857"</f>
        <v>644020240514184615179857</v>
      </c>
      <c r="F1917" s="9"/>
    </row>
    <row r="1918" s="2" customFormat="1" ht="30" customHeight="1" spans="1:6">
      <c r="A1918" s="9">
        <v>1915</v>
      </c>
      <c r="B1918" s="10" t="s">
        <v>1230</v>
      </c>
      <c r="C1918" s="10" t="s">
        <v>1231</v>
      </c>
      <c r="D1918" s="10" t="s">
        <v>1910</v>
      </c>
      <c r="E1918" s="10" t="str">
        <f>"644020240514184916179867"</f>
        <v>644020240514184916179867</v>
      </c>
      <c r="F1918" s="9"/>
    </row>
    <row r="1919" s="2" customFormat="1" ht="30" customHeight="1" spans="1:6">
      <c r="A1919" s="9">
        <v>1916</v>
      </c>
      <c r="B1919" s="10" t="s">
        <v>1230</v>
      </c>
      <c r="C1919" s="10" t="s">
        <v>1231</v>
      </c>
      <c r="D1919" s="10" t="s">
        <v>1911</v>
      </c>
      <c r="E1919" s="10" t="str">
        <f>"644020240514185457179880"</f>
        <v>644020240514185457179880</v>
      </c>
      <c r="F1919" s="9"/>
    </row>
    <row r="1920" s="2" customFormat="1" ht="30" customHeight="1" spans="1:6">
      <c r="A1920" s="9">
        <v>1917</v>
      </c>
      <c r="B1920" s="10" t="s">
        <v>1230</v>
      </c>
      <c r="C1920" s="10" t="s">
        <v>1231</v>
      </c>
      <c r="D1920" s="10" t="s">
        <v>1912</v>
      </c>
      <c r="E1920" s="10" t="str">
        <f>"644020240513081511172229"</f>
        <v>644020240513081511172229</v>
      </c>
      <c r="F1920" s="9"/>
    </row>
    <row r="1921" s="2" customFormat="1" ht="30" customHeight="1" spans="1:6">
      <c r="A1921" s="9">
        <v>1918</v>
      </c>
      <c r="B1921" s="10" t="s">
        <v>1230</v>
      </c>
      <c r="C1921" s="10" t="s">
        <v>1231</v>
      </c>
      <c r="D1921" s="10" t="s">
        <v>1913</v>
      </c>
      <c r="E1921" s="10" t="str">
        <f>"644020240514181536179807"</f>
        <v>644020240514181536179807</v>
      </c>
      <c r="F1921" s="9"/>
    </row>
    <row r="1922" s="2" customFormat="1" ht="30" customHeight="1" spans="1:6">
      <c r="A1922" s="9">
        <v>1919</v>
      </c>
      <c r="B1922" s="10" t="s">
        <v>1230</v>
      </c>
      <c r="C1922" s="10" t="s">
        <v>1231</v>
      </c>
      <c r="D1922" s="10" t="s">
        <v>1914</v>
      </c>
      <c r="E1922" s="10" t="str">
        <f>"644020240514182148179815"</f>
        <v>644020240514182148179815</v>
      </c>
      <c r="F1922" s="9"/>
    </row>
    <row r="1923" s="2" customFormat="1" ht="30" customHeight="1" spans="1:6">
      <c r="A1923" s="9">
        <v>1920</v>
      </c>
      <c r="B1923" s="10" t="s">
        <v>1230</v>
      </c>
      <c r="C1923" s="10" t="s">
        <v>1231</v>
      </c>
      <c r="D1923" s="10" t="s">
        <v>1915</v>
      </c>
      <c r="E1923" s="10" t="str">
        <f>"644020240513143902175028"</f>
        <v>644020240513143902175028</v>
      </c>
      <c r="F1923" s="9"/>
    </row>
    <row r="1924" s="2" customFormat="1" ht="30" customHeight="1" spans="1:6">
      <c r="A1924" s="9">
        <v>1921</v>
      </c>
      <c r="B1924" s="10" t="s">
        <v>1230</v>
      </c>
      <c r="C1924" s="10" t="s">
        <v>1231</v>
      </c>
      <c r="D1924" s="10" t="s">
        <v>1916</v>
      </c>
      <c r="E1924" s="10" t="str">
        <f>"644020240514190041179891"</f>
        <v>644020240514190041179891</v>
      </c>
      <c r="F1924" s="9"/>
    </row>
    <row r="1925" s="2" customFormat="1" ht="30" customHeight="1" spans="1:6">
      <c r="A1925" s="9">
        <v>1922</v>
      </c>
      <c r="B1925" s="10" t="s">
        <v>1230</v>
      </c>
      <c r="C1925" s="10" t="s">
        <v>1231</v>
      </c>
      <c r="D1925" s="10" t="s">
        <v>1917</v>
      </c>
      <c r="E1925" s="10" t="str">
        <f>"644020240514104933178555"</f>
        <v>644020240514104933178555</v>
      </c>
      <c r="F1925" s="9"/>
    </row>
    <row r="1926" s="2" customFormat="1" ht="30" customHeight="1" spans="1:6">
      <c r="A1926" s="9">
        <v>1923</v>
      </c>
      <c r="B1926" s="10" t="s">
        <v>1230</v>
      </c>
      <c r="C1926" s="10" t="s">
        <v>1231</v>
      </c>
      <c r="D1926" s="10" t="s">
        <v>1918</v>
      </c>
      <c r="E1926" s="10" t="str">
        <f>"644020240514184112179848"</f>
        <v>644020240514184112179848</v>
      </c>
      <c r="F1926" s="9"/>
    </row>
    <row r="1927" s="2" customFormat="1" ht="30" customHeight="1" spans="1:6">
      <c r="A1927" s="9">
        <v>1924</v>
      </c>
      <c r="B1927" s="10" t="s">
        <v>1230</v>
      </c>
      <c r="C1927" s="10" t="s">
        <v>1231</v>
      </c>
      <c r="D1927" s="10" t="s">
        <v>1919</v>
      </c>
      <c r="E1927" s="10" t="str">
        <f>"644020240514112721178707"</f>
        <v>644020240514112721178707</v>
      </c>
      <c r="F1927" s="9"/>
    </row>
    <row r="1928" s="2" customFormat="1" ht="30" customHeight="1" spans="1:6">
      <c r="A1928" s="9">
        <v>1925</v>
      </c>
      <c r="B1928" s="10" t="s">
        <v>1230</v>
      </c>
      <c r="C1928" s="10" t="s">
        <v>1231</v>
      </c>
      <c r="D1928" s="10" t="s">
        <v>1920</v>
      </c>
      <c r="E1928" s="10" t="str">
        <f>"644020240513110928173770"</f>
        <v>644020240513110928173770</v>
      </c>
      <c r="F1928" s="9"/>
    </row>
    <row r="1929" s="2" customFormat="1" ht="30" customHeight="1" spans="1:6">
      <c r="A1929" s="9">
        <v>1926</v>
      </c>
      <c r="B1929" s="10" t="s">
        <v>1230</v>
      </c>
      <c r="C1929" s="10" t="s">
        <v>1231</v>
      </c>
      <c r="D1929" s="10" t="s">
        <v>1921</v>
      </c>
      <c r="E1929" s="10" t="str">
        <f>"644020240513204943176915"</f>
        <v>644020240513204943176915</v>
      </c>
      <c r="F1929" s="9"/>
    </row>
    <row r="1930" s="2" customFormat="1" ht="30" customHeight="1" spans="1:6">
      <c r="A1930" s="9">
        <v>1927</v>
      </c>
      <c r="B1930" s="10" t="s">
        <v>1230</v>
      </c>
      <c r="C1930" s="10" t="s">
        <v>1231</v>
      </c>
      <c r="D1930" s="10" t="s">
        <v>1922</v>
      </c>
      <c r="E1930" s="10" t="str">
        <f>"644020240512185339170490"</f>
        <v>644020240512185339170490</v>
      </c>
      <c r="F1930" s="9"/>
    </row>
    <row r="1931" s="2" customFormat="1" ht="30" customHeight="1" spans="1:6">
      <c r="A1931" s="9">
        <v>1928</v>
      </c>
      <c r="B1931" s="10" t="s">
        <v>1230</v>
      </c>
      <c r="C1931" s="10" t="s">
        <v>1231</v>
      </c>
      <c r="D1931" s="10" t="s">
        <v>1923</v>
      </c>
      <c r="E1931" s="10" t="str">
        <f>"644020240514193751179944"</f>
        <v>644020240514193751179944</v>
      </c>
      <c r="F1931" s="9"/>
    </row>
    <row r="1932" s="2" customFormat="1" ht="30" customHeight="1" spans="1:6">
      <c r="A1932" s="9">
        <v>1929</v>
      </c>
      <c r="B1932" s="10" t="s">
        <v>1230</v>
      </c>
      <c r="C1932" s="10" t="s">
        <v>1231</v>
      </c>
      <c r="D1932" s="10" t="s">
        <v>1924</v>
      </c>
      <c r="E1932" s="10" t="str">
        <f>"644020240514124736178933"</f>
        <v>644020240514124736178933</v>
      </c>
      <c r="F1932" s="9"/>
    </row>
    <row r="1933" s="2" customFormat="1" ht="30" customHeight="1" spans="1:6">
      <c r="A1933" s="9">
        <v>1930</v>
      </c>
      <c r="B1933" s="10" t="s">
        <v>1230</v>
      </c>
      <c r="C1933" s="10" t="s">
        <v>1231</v>
      </c>
      <c r="D1933" s="10" t="s">
        <v>1925</v>
      </c>
      <c r="E1933" s="10" t="str">
        <f>"644020240513192819176605"</f>
        <v>644020240513192819176605</v>
      </c>
      <c r="F1933" s="9"/>
    </row>
    <row r="1934" s="2" customFormat="1" ht="30" customHeight="1" spans="1:6">
      <c r="A1934" s="9">
        <v>1931</v>
      </c>
      <c r="B1934" s="10" t="s">
        <v>1230</v>
      </c>
      <c r="C1934" s="10" t="s">
        <v>1231</v>
      </c>
      <c r="D1934" s="10" t="s">
        <v>1926</v>
      </c>
      <c r="E1934" s="10" t="str">
        <f>"644020240514200254179975"</f>
        <v>644020240514200254179975</v>
      </c>
      <c r="F1934" s="9"/>
    </row>
    <row r="1935" s="2" customFormat="1" ht="30" customHeight="1" spans="1:6">
      <c r="A1935" s="9">
        <v>1932</v>
      </c>
      <c r="B1935" s="10" t="s">
        <v>1230</v>
      </c>
      <c r="C1935" s="10" t="s">
        <v>1231</v>
      </c>
      <c r="D1935" s="10" t="s">
        <v>1927</v>
      </c>
      <c r="E1935" s="10" t="str">
        <f>"644020240514200242179972"</f>
        <v>644020240514200242179972</v>
      </c>
      <c r="F1935" s="9"/>
    </row>
    <row r="1936" s="2" customFormat="1" ht="30" customHeight="1" spans="1:6">
      <c r="A1936" s="9">
        <v>1933</v>
      </c>
      <c r="B1936" s="10" t="s">
        <v>1230</v>
      </c>
      <c r="C1936" s="10" t="s">
        <v>1231</v>
      </c>
      <c r="D1936" s="10" t="s">
        <v>1928</v>
      </c>
      <c r="E1936" s="10" t="str">
        <f>"644020240513100043173123"</f>
        <v>644020240513100043173123</v>
      </c>
      <c r="F1936" s="9"/>
    </row>
    <row r="1937" s="2" customFormat="1" ht="30" customHeight="1" spans="1:6">
      <c r="A1937" s="9">
        <v>1934</v>
      </c>
      <c r="B1937" s="10" t="s">
        <v>1230</v>
      </c>
      <c r="C1937" s="10" t="s">
        <v>1231</v>
      </c>
      <c r="D1937" s="10" t="s">
        <v>1929</v>
      </c>
      <c r="E1937" s="10" t="str">
        <f>"644020240513212606177070"</f>
        <v>644020240513212606177070</v>
      </c>
      <c r="F1937" s="9"/>
    </row>
    <row r="1938" s="2" customFormat="1" ht="30" customHeight="1" spans="1:6">
      <c r="A1938" s="9">
        <v>1935</v>
      </c>
      <c r="B1938" s="10" t="s">
        <v>1230</v>
      </c>
      <c r="C1938" s="10" t="s">
        <v>1231</v>
      </c>
      <c r="D1938" s="10" t="s">
        <v>1930</v>
      </c>
      <c r="E1938" s="10" t="str">
        <f>"644020240514200252179973"</f>
        <v>644020240514200252179973</v>
      </c>
      <c r="F1938" s="9"/>
    </row>
    <row r="1939" s="2" customFormat="1" ht="30" customHeight="1" spans="1:6">
      <c r="A1939" s="9">
        <v>1936</v>
      </c>
      <c r="B1939" s="10" t="s">
        <v>1230</v>
      </c>
      <c r="C1939" s="10" t="s">
        <v>1231</v>
      </c>
      <c r="D1939" s="10" t="s">
        <v>1931</v>
      </c>
      <c r="E1939" s="10" t="str">
        <f>"644020240514163116179504"</f>
        <v>644020240514163116179504</v>
      </c>
      <c r="F1939" s="9"/>
    </row>
    <row r="1940" s="2" customFormat="1" ht="30" customHeight="1" spans="1:6">
      <c r="A1940" s="9">
        <v>1937</v>
      </c>
      <c r="B1940" s="10" t="s">
        <v>1230</v>
      </c>
      <c r="C1940" s="10" t="s">
        <v>1231</v>
      </c>
      <c r="D1940" s="10" t="s">
        <v>1932</v>
      </c>
      <c r="E1940" s="10" t="str">
        <f>"644020240512203841170883"</f>
        <v>644020240512203841170883</v>
      </c>
      <c r="F1940" s="9"/>
    </row>
    <row r="1941" s="2" customFormat="1" ht="30" customHeight="1" spans="1:6">
      <c r="A1941" s="9">
        <v>1938</v>
      </c>
      <c r="B1941" s="10" t="s">
        <v>1230</v>
      </c>
      <c r="C1941" s="10" t="s">
        <v>1231</v>
      </c>
      <c r="D1941" s="10" t="s">
        <v>1933</v>
      </c>
      <c r="E1941" s="10" t="str">
        <f>"644020240514174816179753"</f>
        <v>644020240514174816179753</v>
      </c>
      <c r="F1941" s="9"/>
    </row>
    <row r="1942" s="2" customFormat="1" ht="30" customHeight="1" spans="1:6">
      <c r="A1942" s="9">
        <v>1939</v>
      </c>
      <c r="B1942" s="10" t="s">
        <v>1230</v>
      </c>
      <c r="C1942" s="10" t="s">
        <v>1231</v>
      </c>
      <c r="D1942" s="10" t="s">
        <v>1934</v>
      </c>
      <c r="E1942" s="10" t="str">
        <f>"644020240514201756180019"</f>
        <v>644020240514201756180019</v>
      </c>
      <c r="F1942" s="9"/>
    </row>
    <row r="1943" s="2" customFormat="1" ht="30" customHeight="1" spans="1:6">
      <c r="A1943" s="9">
        <v>1940</v>
      </c>
      <c r="B1943" s="10" t="s">
        <v>1230</v>
      </c>
      <c r="C1943" s="10" t="s">
        <v>1231</v>
      </c>
      <c r="D1943" s="10" t="s">
        <v>1935</v>
      </c>
      <c r="E1943" s="10" t="str">
        <f>"644020240514201430180011"</f>
        <v>644020240514201430180011</v>
      </c>
      <c r="F1943" s="9"/>
    </row>
    <row r="1944" s="2" customFormat="1" ht="30" customHeight="1" spans="1:6">
      <c r="A1944" s="9">
        <v>1941</v>
      </c>
      <c r="B1944" s="10" t="s">
        <v>1230</v>
      </c>
      <c r="C1944" s="10" t="s">
        <v>1231</v>
      </c>
      <c r="D1944" s="10" t="s">
        <v>1936</v>
      </c>
      <c r="E1944" s="10" t="str">
        <f>"644020240514200513179985"</f>
        <v>644020240514200513179985</v>
      </c>
      <c r="F1944" s="9"/>
    </row>
    <row r="1945" s="2" customFormat="1" ht="30" customHeight="1" spans="1:6">
      <c r="A1945" s="9">
        <v>1942</v>
      </c>
      <c r="B1945" s="10" t="s">
        <v>1230</v>
      </c>
      <c r="C1945" s="10" t="s">
        <v>1231</v>
      </c>
      <c r="D1945" s="10" t="s">
        <v>1937</v>
      </c>
      <c r="E1945" s="10" t="str">
        <f>"644020240514135852179072"</f>
        <v>644020240514135852179072</v>
      </c>
      <c r="F1945" s="9"/>
    </row>
    <row r="1946" s="2" customFormat="1" ht="30" customHeight="1" spans="1:6">
      <c r="A1946" s="9">
        <v>1943</v>
      </c>
      <c r="B1946" s="10" t="s">
        <v>1230</v>
      </c>
      <c r="C1946" s="10" t="s">
        <v>1231</v>
      </c>
      <c r="D1946" s="10" t="s">
        <v>1938</v>
      </c>
      <c r="E1946" s="10" t="str">
        <f>"644020240514194000179949"</f>
        <v>644020240514194000179949</v>
      </c>
      <c r="F1946" s="9"/>
    </row>
    <row r="1947" s="2" customFormat="1" ht="30" customHeight="1" spans="1:6">
      <c r="A1947" s="9">
        <v>1944</v>
      </c>
      <c r="B1947" s="10" t="s">
        <v>1230</v>
      </c>
      <c r="C1947" s="10" t="s">
        <v>1231</v>
      </c>
      <c r="D1947" s="10" t="s">
        <v>1939</v>
      </c>
      <c r="E1947" s="10" t="str">
        <f>"644020240514204413180060"</f>
        <v>644020240514204413180060</v>
      </c>
      <c r="F1947" s="9"/>
    </row>
    <row r="1948" s="2" customFormat="1" ht="30" customHeight="1" spans="1:6">
      <c r="A1948" s="9">
        <v>1945</v>
      </c>
      <c r="B1948" s="10" t="s">
        <v>1230</v>
      </c>
      <c r="C1948" s="10" t="s">
        <v>1231</v>
      </c>
      <c r="D1948" s="10" t="s">
        <v>1940</v>
      </c>
      <c r="E1948" s="10" t="str">
        <f>"644020240513191902176575"</f>
        <v>644020240513191902176575</v>
      </c>
      <c r="F1948" s="9"/>
    </row>
    <row r="1949" s="2" customFormat="1" ht="30" customHeight="1" spans="1:6">
      <c r="A1949" s="9">
        <v>1946</v>
      </c>
      <c r="B1949" s="10" t="s">
        <v>1230</v>
      </c>
      <c r="C1949" s="10" t="s">
        <v>1231</v>
      </c>
      <c r="D1949" s="10" t="s">
        <v>1941</v>
      </c>
      <c r="E1949" s="10" t="str">
        <f>"644020240513203605176856"</f>
        <v>644020240513203605176856</v>
      </c>
      <c r="F1949" s="9"/>
    </row>
    <row r="1950" s="2" customFormat="1" ht="30" customHeight="1" spans="1:6">
      <c r="A1950" s="9">
        <v>1947</v>
      </c>
      <c r="B1950" s="10" t="s">
        <v>1230</v>
      </c>
      <c r="C1950" s="10" t="s">
        <v>1231</v>
      </c>
      <c r="D1950" s="10" t="s">
        <v>1942</v>
      </c>
      <c r="E1950" s="10" t="str">
        <f>"644020240513082201172262"</f>
        <v>644020240513082201172262</v>
      </c>
      <c r="F1950" s="9"/>
    </row>
    <row r="1951" s="2" customFormat="1" ht="30" customHeight="1" spans="1:6">
      <c r="A1951" s="9">
        <v>1948</v>
      </c>
      <c r="B1951" s="10" t="s">
        <v>1230</v>
      </c>
      <c r="C1951" s="10" t="s">
        <v>1231</v>
      </c>
      <c r="D1951" s="10" t="s">
        <v>1943</v>
      </c>
      <c r="E1951" s="10" t="str">
        <f>"644020240514204457180063"</f>
        <v>644020240514204457180063</v>
      </c>
      <c r="F1951" s="9"/>
    </row>
    <row r="1952" s="2" customFormat="1" ht="30" customHeight="1" spans="1:6">
      <c r="A1952" s="9">
        <v>1949</v>
      </c>
      <c r="B1952" s="10" t="s">
        <v>1230</v>
      </c>
      <c r="C1952" s="10" t="s">
        <v>1231</v>
      </c>
      <c r="D1952" s="10" t="s">
        <v>1944</v>
      </c>
      <c r="E1952" s="10" t="str">
        <f>"644020240514205140180080"</f>
        <v>644020240514205140180080</v>
      </c>
      <c r="F1952" s="9"/>
    </row>
    <row r="1953" s="2" customFormat="1" ht="30" customHeight="1" spans="1:6">
      <c r="A1953" s="9">
        <v>1950</v>
      </c>
      <c r="B1953" s="10" t="s">
        <v>1230</v>
      </c>
      <c r="C1953" s="10" t="s">
        <v>1231</v>
      </c>
      <c r="D1953" s="10" t="s">
        <v>1945</v>
      </c>
      <c r="E1953" s="10" t="str">
        <f>"644020240513213512177108"</f>
        <v>644020240513213512177108</v>
      </c>
      <c r="F1953" s="9"/>
    </row>
    <row r="1954" s="2" customFormat="1" ht="30" customHeight="1" spans="1:6">
      <c r="A1954" s="9">
        <v>1951</v>
      </c>
      <c r="B1954" s="10" t="s">
        <v>1230</v>
      </c>
      <c r="C1954" s="10" t="s">
        <v>1231</v>
      </c>
      <c r="D1954" s="10" t="s">
        <v>1946</v>
      </c>
      <c r="E1954" s="10" t="str">
        <f>"644020240514200224179969"</f>
        <v>644020240514200224179969</v>
      </c>
      <c r="F1954" s="9"/>
    </row>
    <row r="1955" s="2" customFormat="1" ht="30" customHeight="1" spans="1:6">
      <c r="A1955" s="9">
        <v>1952</v>
      </c>
      <c r="B1955" s="10" t="s">
        <v>1230</v>
      </c>
      <c r="C1955" s="10" t="s">
        <v>1231</v>
      </c>
      <c r="D1955" s="10" t="s">
        <v>1947</v>
      </c>
      <c r="E1955" s="10" t="str">
        <f>"644020240513220913177271"</f>
        <v>644020240513220913177271</v>
      </c>
      <c r="F1955" s="9"/>
    </row>
    <row r="1956" s="2" customFormat="1" ht="30" customHeight="1" spans="1:6">
      <c r="A1956" s="9">
        <v>1953</v>
      </c>
      <c r="B1956" s="10" t="s">
        <v>1230</v>
      </c>
      <c r="C1956" s="10" t="s">
        <v>1231</v>
      </c>
      <c r="D1956" s="10" t="s">
        <v>1948</v>
      </c>
      <c r="E1956" s="10" t="str">
        <f>"644020240514103943178491"</f>
        <v>644020240514103943178491</v>
      </c>
      <c r="F1956" s="9"/>
    </row>
    <row r="1957" s="2" customFormat="1" ht="30" customHeight="1" spans="1:6">
      <c r="A1957" s="9">
        <v>1954</v>
      </c>
      <c r="B1957" s="10" t="s">
        <v>1230</v>
      </c>
      <c r="C1957" s="10" t="s">
        <v>1231</v>
      </c>
      <c r="D1957" s="10" t="s">
        <v>1949</v>
      </c>
      <c r="E1957" s="10" t="str">
        <f>"644020240514204430180061"</f>
        <v>644020240514204430180061</v>
      </c>
      <c r="F1957" s="9"/>
    </row>
    <row r="1958" s="2" customFormat="1" ht="30" customHeight="1" spans="1:6">
      <c r="A1958" s="9">
        <v>1955</v>
      </c>
      <c r="B1958" s="10" t="s">
        <v>1230</v>
      </c>
      <c r="C1958" s="10" t="s">
        <v>1231</v>
      </c>
      <c r="D1958" s="10" t="s">
        <v>1950</v>
      </c>
      <c r="E1958" s="10" t="str">
        <f>"644020240514211157180147"</f>
        <v>644020240514211157180147</v>
      </c>
      <c r="F1958" s="9"/>
    </row>
    <row r="1959" s="2" customFormat="1" ht="30" customHeight="1" spans="1:6">
      <c r="A1959" s="9">
        <v>1956</v>
      </c>
      <c r="B1959" s="10" t="s">
        <v>1230</v>
      </c>
      <c r="C1959" s="10" t="s">
        <v>1231</v>
      </c>
      <c r="D1959" s="10" t="s">
        <v>1951</v>
      </c>
      <c r="E1959" s="10" t="str">
        <f>"644020240514082429177847"</f>
        <v>644020240514082429177847</v>
      </c>
      <c r="F1959" s="9"/>
    </row>
    <row r="1960" s="2" customFormat="1" ht="30" customHeight="1" spans="1:6">
      <c r="A1960" s="9">
        <v>1957</v>
      </c>
      <c r="B1960" s="10" t="s">
        <v>1230</v>
      </c>
      <c r="C1960" s="10" t="s">
        <v>1231</v>
      </c>
      <c r="D1960" s="10" t="s">
        <v>1952</v>
      </c>
      <c r="E1960" s="10" t="str">
        <f>"644020240514205134180077"</f>
        <v>644020240514205134180077</v>
      </c>
      <c r="F1960" s="9"/>
    </row>
    <row r="1961" s="2" customFormat="1" ht="30" customHeight="1" spans="1:6">
      <c r="A1961" s="9">
        <v>1958</v>
      </c>
      <c r="B1961" s="10" t="s">
        <v>1230</v>
      </c>
      <c r="C1961" s="10" t="s">
        <v>1231</v>
      </c>
      <c r="D1961" s="10" t="s">
        <v>1953</v>
      </c>
      <c r="E1961" s="10" t="str">
        <f>"644020240514211342180152"</f>
        <v>644020240514211342180152</v>
      </c>
      <c r="F1961" s="9"/>
    </row>
    <row r="1962" s="2" customFormat="1" ht="30" customHeight="1" spans="1:6">
      <c r="A1962" s="9">
        <v>1959</v>
      </c>
      <c r="B1962" s="10" t="s">
        <v>1230</v>
      </c>
      <c r="C1962" s="10" t="s">
        <v>1231</v>
      </c>
      <c r="D1962" s="10" t="s">
        <v>1954</v>
      </c>
      <c r="E1962" s="10" t="str">
        <f>"644020240513213851177120"</f>
        <v>644020240513213851177120</v>
      </c>
      <c r="F1962" s="9"/>
    </row>
    <row r="1963" s="2" customFormat="1" ht="30" customHeight="1" spans="1:6">
      <c r="A1963" s="9">
        <v>1960</v>
      </c>
      <c r="B1963" s="10" t="s">
        <v>1230</v>
      </c>
      <c r="C1963" s="10" t="s">
        <v>1231</v>
      </c>
      <c r="D1963" s="10" t="s">
        <v>1955</v>
      </c>
      <c r="E1963" s="10" t="str">
        <f>"644020240514212603180193"</f>
        <v>644020240514212603180193</v>
      </c>
      <c r="F1963" s="9"/>
    </row>
    <row r="1964" s="2" customFormat="1" ht="30" customHeight="1" spans="1:6">
      <c r="A1964" s="9">
        <v>1961</v>
      </c>
      <c r="B1964" s="10" t="s">
        <v>1230</v>
      </c>
      <c r="C1964" s="10" t="s">
        <v>1231</v>
      </c>
      <c r="D1964" s="10" t="s">
        <v>1956</v>
      </c>
      <c r="E1964" s="10" t="str">
        <f>"644020240512230434171705"</f>
        <v>644020240512230434171705</v>
      </c>
      <c r="F1964" s="9"/>
    </row>
    <row r="1965" s="2" customFormat="1" ht="30" customHeight="1" spans="1:6">
      <c r="A1965" s="9">
        <v>1962</v>
      </c>
      <c r="B1965" s="10" t="s">
        <v>1230</v>
      </c>
      <c r="C1965" s="10" t="s">
        <v>1231</v>
      </c>
      <c r="D1965" s="10" t="s">
        <v>1957</v>
      </c>
      <c r="E1965" s="10" t="str">
        <f>"644020240514211648180165"</f>
        <v>644020240514211648180165</v>
      </c>
      <c r="F1965" s="9"/>
    </row>
    <row r="1966" s="2" customFormat="1" ht="30" customHeight="1" spans="1:6">
      <c r="A1966" s="9">
        <v>1963</v>
      </c>
      <c r="B1966" s="10" t="s">
        <v>1230</v>
      </c>
      <c r="C1966" s="10" t="s">
        <v>1231</v>
      </c>
      <c r="D1966" s="10" t="s">
        <v>1958</v>
      </c>
      <c r="E1966" s="10" t="str">
        <f>"644020240514205020180072"</f>
        <v>644020240514205020180072</v>
      </c>
      <c r="F1966" s="9"/>
    </row>
    <row r="1967" s="2" customFormat="1" ht="30" customHeight="1" spans="1:6">
      <c r="A1967" s="9">
        <v>1964</v>
      </c>
      <c r="B1967" s="10" t="s">
        <v>1230</v>
      </c>
      <c r="C1967" s="10" t="s">
        <v>1231</v>
      </c>
      <c r="D1967" s="10" t="s">
        <v>1959</v>
      </c>
      <c r="E1967" s="10" t="str">
        <f>"644020240514205517180097"</f>
        <v>644020240514205517180097</v>
      </c>
      <c r="F1967" s="9"/>
    </row>
    <row r="1968" s="2" customFormat="1" ht="30" customHeight="1" spans="1:6">
      <c r="A1968" s="9">
        <v>1965</v>
      </c>
      <c r="B1968" s="10" t="s">
        <v>1230</v>
      </c>
      <c r="C1968" s="10" t="s">
        <v>1231</v>
      </c>
      <c r="D1968" s="10" t="s">
        <v>1960</v>
      </c>
      <c r="E1968" s="10" t="str">
        <f>"644020240514211252180150"</f>
        <v>644020240514211252180150</v>
      </c>
      <c r="F1968" s="9"/>
    </row>
    <row r="1969" s="2" customFormat="1" ht="30" customHeight="1" spans="1:6">
      <c r="A1969" s="9">
        <v>1966</v>
      </c>
      <c r="B1969" s="10" t="s">
        <v>1230</v>
      </c>
      <c r="C1969" s="10" t="s">
        <v>1231</v>
      </c>
      <c r="D1969" s="10" t="s">
        <v>1961</v>
      </c>
      <c r="E1969" s="10" t="str">
        <f>"644020240514205142180082"</f>
        <v>644020240514205142180082</v>
      </c>
      <c r="F1969" s="9"/>
    </row>
    <row r="1970" s="2" customFormat="1" ht="30" customHeight="1" spans="1:6">
      <c r="A1970" s="9">
        <v>1967</v>
      </c>
      <c r="B1970" s="10" t="s">
        <v>1230</v>
      </c>
      <c r="C1970" s="10" t="s">
        <v>1231</v>
      </c>
      <c r="D1970" s="10" t="s">
        <v>1962</v>
      </c>
      <c r="E1970" s="10" t="str">
        <f>"644020240514213505180217"</f>
        <v>644020240514213505180217</v>
      </c>
      <c r="F1970" s="9"/>
    </row>
    <row r="1971" s="2" customFormat="1" ht="30" customHeight="1" spans="1:6">
      <c r="A1971" s="9">
        <v>1968</v>
      </c>
      <c r="B1971" s="10" t="s">
        <v>1230</v>
      </c>
      <c r="C1971" s="10" t="s">
        <v>1231</v>
      </c>
      <c r="D1971" s="10" t="s">
        <v>1963</v>
      </c>
      <c r="E1971" s="10" t="str">
        <f>"644020240514210952180136"</f>
        <v>644020240514210952180136</v>
      </c>
      <c r="F1971" s="9"/>
    </row>
    <row r="1972" s="2" customFormat="1" ht="30" customHeight="1" spans="1:6">
      <c r="A1972" s="9">
        <v>1969</v>
      </c>
      <c r="B1972" s="10" t="s">
        <v>1230</v>
      </c>
      <c r="C1972" s="10" t="s">
        <v>1231</v>
      </c>
      <c r="D1972" s="10" t="s">
        <v>1964</v>
      </c>
      <c r="E1972" s="10" t="str">
        <f>"644020240514212338180183"</f>
        <v>644020240514212338180183</v>
      </c>
      <c r="F1972" s="9"/>
    </row>
    <row r="1973" s="2" customFormat="1" ht="30" customHeight="1" spans="1:6">
      <c r="A1973" s="9">
        <v>1970</v>
      </c>
      <c r="B1973" s="10" t="s">
        <v>1230</v>
      </c>
      <c r="C1973" s="10" t="s">
        <v>1231</v>
      </c>
      <c r="D1973" s="10" t="s">
        <v>1965</v>
      </c>
      <c r="E1973" s="10" t="str">
        <f>"644020240514211313180151"</f>
        <v>644020240514211313180151</v>
      </c>
      <c r="F1973" s="9"/>
    </row>
    <row r="1974" s="2" customFormat="1" ht="30" customHeight="1" spans="1:6">
      <c r="A1974" s="9">
        <v>1971</v>
      </c>
      <c r="B1974" s="10" t="s">
        <v>1230</v>
      </c>
      <c r="C1974" s="10" t="s">
        <v>1231</v>
      </c>
      <c r="D1974" s="10" t="s">
        <v>1966</v>
      </c>
      <c r="E1974" s="10" t="str">
        <f>"644020240514204248180056"</f>
        <v>644020240514204248180056</v>
      </c>
      <c r="F1974" s="9"/>
    </row>
    <row r="1975" s="2" customFormat="1" ht="30" customHeight="1" spans="1:6">
      <c r="A1975" s="9">
        <v>1972</v>
      </c>
      <c r="B1975" s="10" t="s">
        <v>1230</v>
      </c>
      <c r="C1975" s="10" t="s">
        <v>1231</v>
      </c>
      <c r="D1975" s="10" t="s">
        <v>1967</v>
      </c>
      <c r="E1975" s="10" t="str">
        <f>"644020240513203636176860"</f>
        <v>644020240513203636176860</v>
      </c>
      <c r="F1975" s="9"/>
    </row>
    <row r="1976" s="2" customFormat="1" ht="30" customHeight="1" spans="1:6">
      <c r="A1976" s="9">
        <v>1973</v>
      </c>
      <c r="B1976" s="10" t="s">
        <v>1230</v>
      </c>
      <c r="C1976" s="10" t="s">
        <v>1231</v>
      </c>
      <c r="D1976" s="10" t="s">
        <v>1968</v>
      </c>
      <c r="E1976" s="10" t="str">
        <f>"644020240514205252180086"</f>
        <v>644020240514205252180086</v>
      </c>
      <c r="F1976" s="9"/>
    </row>
    <row r="1977" s="2" customFormat="1" ht="30" customHeight="1" spans="1:6">
      <c r="A1977" s="9">
        <v>1974</v>
      </c>
      <c r="B1977" s="10" t="s">
        <v>1230</v>
      </c>
      <c r="C1977" s="10" t="s">
        <v>1231</v>
      </c>
      <c r="D1977" s="10" t="s">
        <v>1969</v>
      </c>
      <c r="E1977" s="10" t="str">
        <f>"644020240514213308180214"</f>
        <v>644020240514213308180214</v>
      </c>
      <c r="F1977" s="9"/>
    </row>
    <row r="1978" s="2" customFormat="1" ht="30" customHeight="1" spans="1:6">
      <c r="A1978" s="9">
        <v>1975</v>
      </c>
      <c r="B1978" s="10" t="s">
        <v>1230</v>
      </c>
      <c r="C1978" s="10" t="s">
        <v>1231</v>
      </c>
      <c r="D1978" s="10" t="s">
        <v>1970</v>
      </c>
      <c r="E1978" s="10" t="str">
        <f>"644020240514210037180111"</f>
        <v>644020240514210037180111</v>
      </c>
      <c r="F1978" s="9"/>
    </row>
    <row r="1979" s="2" customFormat="1" ht="30" customHeight="1" spans="1:6">
      <c r="A1979" s="9">
        <v>1976</v>
      </c>
      <c r="B1979" s="10" t="s">
        <v>1230</v>
      </c>
      <c r="C1979" s="10" t="s">
        <v>1231</v>
      </c>
      <c r="D1979" s="10" t="s">
        <v>1971</v>
      </c>
      <c r="E1979" s="10" t="str">
        <f>"644020240514185714179881"</f>
        <v>644020240514185714179881</v>
      </c>
      <c r="F1979" s="9"/>
    </row>
    <row r="1980" s="2" customFormat="1" ht="30" customHeight="1" spans="1:6">
      <c r="A1980" s="9">
        <v>1977</v>
      </c>
      <c r="B1980" s="10" t="s">
        <v>1230</v>
      </c>
      <c r="C1980" s="10" t="s">
        <v>1231</v>
      </c>
      <c r="D1980" s="10" t="s">
        <v>1972</v>
      </c>
      <c r="E1980" s="10" t="str">
        <f>"644020240514214314180233"</f>
        <v>644020240514214314180233</v>
      </c>
      <c r="F1980" s="9"/>
    </row>
    <row r="1981" s="2" customFormat="1" ht="30" customHeight="1" spans="1:6">
      <c r="A1981" s="9">
        <v>1978</v>
      </c>
      <c r="B1981" s="10" t="s">
        <v>1230</v>
      </c>
      <c r="C1981" s="10" t="s">
        <v>1231</v>
      </c>
      <c r="D1981" s="10" t="s">
        <v>1973</v>
      </c>
      <c r="E1981" s="10" t="str">
        <f>"644020240514165949179610"</f>
        <v>644020240514165949179610</v>
      </c>
      <c r="F1981" s="9"/>
    </row>
    <row r="1982" s="2" customFormat="1" ht="30" customHeight="1" spans="1:6">
      <c r="A1982" s="9">
        <v>1979</v>
      </c>
      <c r="B1982" s="10" t="s">
        <v>1230</v>
      </c>
      <c r="C1982" s="10" t="s">
        <v>1231</v>
      </c>
      <c r="D1982" s="10" t="s">
        <v>1974</v>
      </c>
      <c r="E1982" s="10" t="str">
        <f>"644020240514220009180292"</f>
        <v>644020240514220009180292</v>
      </c>
      <c r="F1982" s="9"/>
    </row>
    <row r="1983" s="2" customFormat="1" ht="30" customHeight="1" spans="1:6">
      <c r="A1983" s="9">
        <v>1980</v>
      </c>
      <c r="B1983" s="10" t="s">
        <v>1230</v>
      </c>
      <c r="C1983" s="10" t="s">
        <v>1231</v>
      </c>
      <c r="D1983" s="10" t="s">
        <v>1975</v>
      </c>
      <c r="E1983" s="10" t="str">
        <f>"644020240513220807177262"</f>
        <v>644020240513220807177262</v>
      </c>
      <c r="F1983" s="9"/>
    </row>
    <row r="1984" s="2" customFormat="1" ht="30" customHeight="1" spans="1:6">
      <c r="A1984" s="9">
        <v>1981</v>
      </c>
      <c r="B1984" s="10" t="s">
        <v>1230</v>
      </c>
      <c r="C1984" s="10" t="s">
        <v>1231</v>
      </c>
      <c r="D1984" s="10" t="s">
        <v>1976</v>
      </c>
      <c r="E1984" s="10" t="str">
        <f>"644020240514103726178476"</f>
        <v>644020240514103726178476</v>
      </c>
      <c r="F1984" s="9"/>
    </row>
    <row r="1985" s="2" customFormat="1" ht="30" customHeight="1" spans="1:6">
      <c r="A1985" s="9">
        <v>1982</v>
      </c>
      <c r="B1985" s="10" t="s">
        <v>1230</v>
      </c>
      <c r="C1985" s="10" t="s">
        <v>1231</v>
      </c>
      <c r="D1985" s="10" t="s">
        <v>1977</v>
      </c>
      <c r="E1985" s="10" t="str">
        <f>"644020240514214934180267"</f>
        <v>644020240514214934180267</v>
      </c>
      <c r="F1985" s="9"/>
    </row>
    <row r="1986" s="2" customFormat="1" ht="30" customHeight="1" spans="1:6">
      <c r="A1986" s="9">
        <v>1983</v>
      </c>
      <c r="B1986" s="10" t="s">
        <v>1230</v>
      </c>
      <c r="C1986" s="10" t="s">
        <v>1231</v>
      </c>
      <c r="D1986" s="10" t="s">
        <v>1978</v>
      </c>
      <c r="E1986" s="10" t="str">
        <f>"644020240513112512173925"</f>
        <v>644020240513112512173925</v>
      </c>
      <c r="F1986" s="9"/>
    </row>
    <row r="1987" s="2" customFormat="1" ht="30" customHeight="1" spans="1:6">
      <c r="A1987" s="9">
        <v>1984</v>
      </c>
      <c r="B1987" s="10" t="s">
        <v>1230</v>
      </c>
      <c r="C1987" s="10" t="s">
        <v>1231</v>
      </c>
      <c r="D1987" s="10" t="s">
        <v>1979</v>
      </c>
      <c r="E1987" s="10" t="str">
        <f>"644020240514214732180255"</f>
        <v>644020240514214732180255</v>
      </c>
      <c r="F1987" s="9"/>
    </row>
    <row r="1988" s="2" customFormat="1" ht="30" customHeight="1" spans="1:6">
      <c r="A1988" s="9">
        <v>1985</v>
      </c>
      <c r="B1988" s="10" t="s">
        <v>1230</v>
      </c>
      <c r="C1988" s="10" t="s">
        <v>1231</v>
      </c>
      <c r="D1988" s="10" t="s">
        <v>1980</v>
      </c>
      <c r="E1988" s="10" t="str">
        <f>"644020240514215444180275"</f>
        <v>644020240514215444180275</v>
      </c>
      <c r="F1988" s="9"/>
    </row>
    <row r="1989" s="2" customFormat="1" ht="30" customHeight="1" spans="1:6">
      <c r="A1989" s="9">
        <v>1986</v>
      </c>
      <c r="B1989" s="10" t="s">
        <v>1230</v>
      </c>
      <c r="C1989" s="10" t="s">
        <v>1231</v>
      </c>
      <c r="D1989" s="10" t="s">
        <v>1981</v>
      </c>
      <c r="E1989" s="10" t="str">
        <f>"644020240513132601174638"</f>
        <v>644020240513132601174638</v>
      </c>
      <c r="F1989" s="9"/>
    </row>
    <row r="1990" s="2" customFormat="1" ht="30" customHeight="1" spans="1:6">
      <c r="A1990" s="9">
        <v>1987</v>
      </c>
      <c r="B1990" s="10" t="s">
        <v>1230</v>
      </c>
      <c r="C1990" s="10" t="s">
        <v>1231</v>
      </c>
      <c r="D1990" s="10" t="s">
        <v>1982</v>
      </c>
      <c r="E1990" s="10" t="str">
        <f>"644020240512092042168200"</f>
        <v>644020240512092042168200</v>
      </c>
      <c r="F1990" s="9"/>
    </row>
    <row r="1991" s="2" customFormat="1" ht="30" customHeight="1" spans="1:6">
      <c r="A1991" s="9">
        <v>1988</v>
      </c>
      <c r="B1991" s="10" t="s">
        <v>1230</v>
      </c>
      <c r="C1991" s="10" t="s">
        <v>1231</v>
      </c>
      <c r="D1991" s="10" t="s">
        <v>1983</v>
      </c>
      <c r="E1991" s="10" t="str">
        <f>"644020240514220015180293"</f>
        <v>644020240514220015180293</v>
      </c>
      <c r="F1991" s="9"/>
    </row>
    <row r="1992" s="2" customFormat="1" ht="30" customHeight="1" spans="1:6">
      <c r="A1992" s="9">
        <v>1989</v>
      </c>
      <c r="B1992" s="10" t="s">
        <v>1230</v>
      </c>
      <c r="C1992" s="10" t="s">
        <v>1231</v>
      </c>
      <c r="D1992" s="10" t="s">
        <v>1984</v>
      </c>
      <c r="E1992" s="10" t="str">
        <f>"644020240513225912177486"</f>
        <v>644020240513225912177486</v>
      </c>
      <c r="F1992" s="9"/>
    </row>
    <row r="1993" s="2" customFormat="1" ht="30" customHeight="1" spans="1:6">
      <c r="A1993" s="9">
        <v>1990</v>
      </c>
      <c r="B1993" s="10" t="s">
        <v>1230</v>
      </c>
      <c r="C1993" s="10" t="s">
        <v>1231</v>
      </c>
      <c r="D1993" s="10" t="s">
        <v>1985</v>
      </c>
      <c r="E1993" s="10" t="str">
        <f>"644020240514220058180297"</f>
        <v>644020240514220058180297</v>
      </c>
      <c r="F1993" s="9"/>
    </row>
    <row r="1994" s="2" customFormat="1" ht="30" customHeight="1" spans="1:6">
      <c r="A1994" s="9">
        <v>1991</v>
      </c>
      <c r="B1994" s="10" t="s">
        <v>1230</v>
      </c>
      <c r="C1994" s="10" t="s">
        <v>1231</v>
      </c>
      <c r="D1994" s="10" t="s">
        <v>1986</v>
      </c>
      <c r="E1994" s="10" t="str">
        <f>"644020240514221637180341"</f>
        <v>644020240514221637180341</v>
      </c>
      <c r="F1994" s="9"/>
    </row>
    <row r="1995" s="2" customFormat="1" ht="30" customHeight="1" spans="1:6">
      <c r="A1995" s="9">
        <v>1992</v>
      </c>
      <c r="B1995" s="10" t="s">
        <v>1230</v>
      </c>
      <c r="C1995" s="10" t="s">
        <v>1231</v>
      </c>
      <c r="D1995" s="10" t="s">
        <v>1987</v>
      </c>
      <c r="E1995" s="10" t="str">
        <f>"644020240514220923180316"</f>
        <v>644020240514220923180316</v>
      </c>
      <c r="F1995" s="9"/>
    </row>
    <row r="1996" s="2" customFormat="1" ht="30" customHeight="1" spans="1:6">
      <c r="A1996" s="9">
        <v>1993</v>
      </c>
      <c r="B1996" s="10" t="s">
        <v>1230</v>
      </c>
      <c r="C1996" s="10" t="s">
        <v>1231</v>
      </c>
      <c r="D1996" s="10" t="s">
        <v>1988</v>
      </c>
      <c r="E1996" s="10" t="str">
        <f>"644020240514220231180302"</f>
        <v>644020240514220231180302</v>
      </c>
      <c r="F1996" s="9"/>
    </row>
    <row r="1997" s="2" customFormat="1" ht="30" customHeight="1" spans="1:6">
      <c r="A1997" s="9">
        <v>1994</v>
      </c>
      <c r="B1997" s="10" t="s">
        <v>1230</v>
      </c>
      <c r="C1997" s="10" t="s">
        <v>1231</v>
      </c>
      <c r="D1997" s="10" t="s">
        <v>1989</v>
      </c>
      <c r="E1997" s="10" t="str">
        <f>"644020240514155502179382"</f>
        <v>644020240514155502179382</v>
      </c>
      <c r="F1997" s="9"/>
    </row>
    <row r="1998" s="2" customFormat="1" ht="30" customHeight="1" spans="1:6">
      <c r="A1998" s="9">
        <v>1995</v>
      </c>
      <c r="B1998" s="10" t="s">
        <v>1230</v>
      </c>
      <c r="C1998" s="10" t="s">
        <v>1231</v>
      </c>
      <c r="D1998" s="10" t="s">
        <v>1990</v>
      </c>
      <c r="E1998" s="10" t="str">
        <f>"644020240514221854180347"</f>
        <v>644020240514221854180347</v>
      </c>
      <c r="F1998" s="9"/>
    </row>
    <row r="1999" s="2" customFormat="1" ht="30" customHeight="1" spans="1:6">
      <c r="A1999" s="9">
        <v>1996</v>
      </c>
      <c r="B1999" s="10" t="s">
        <v>1230</v>
      </c>
      <c r="C1999" s="10" t="s">
        <v>1231</v>
      </c>
      <c r="D1999" s="10" t="s">
        <v>1991</v>
      </c>
      <c r="E1999" s="10" t="str">
        <f>"644020240513212549177069"</f>
        <v>644020240513212549177069</v>
      </c>
      <c r="F1999" s="9"/>
    </row>
    <row r="2000" s="2" customFormat="1" ht="30" customHeight="1" spans="1:6">
      <c r="A2000" s="9">
        <v>1997</v>
      </c>
      <c r="B2000" s="10" t="s">
        <v>1230</v>
      </c>
      <c r="C2000" s="10" t="s">
        <v>1231</v>
      </c>
      <c r="D2000" s="10" t="s">
        <v>1992</v>
      </c>
      <c r="E2000" s="10" t="str">
        <f>"644020240512113127168891"</f>
        <v>644020240512113127168891</v>
      </c>
      <c r="F2000" s="9"/>
    </row>
    <row r="2001" s="2" customFormat="1" ht="30" customHeight="1" spans="1:6">
      <c r="A2001" s="9">
        <v>1998</v>
      </c>
      <c r="B2001" s="10" t="s">
        <v>1230</v>
      </c>
      <c r="C2001" s="10" t="s">
        <v>1231</v>
      </c>
      <c r="D2001" s="10" t="s">
        <v>1993</v>
      </c>
      <c r="E2001" s="10" t="str">
        <f>"644020240514222559180367"</f>
        <v>644020240514222559180367</v>
      </c>
      <c r="F2001" s="9"/>
    </row>
    <row r="2002" s="2" customFormat="1" ht="30" customHeight="1" spans="1:6">
      <c r="A2002" s="9">
        <v>1999</v>
      </c>
      <c r="B2002" s="10" t="s">
        <v>1230</v>
      </c>
      <c r="C2002" s="10" t="s">
        <v>1231</v>
      </c>
      <c r="D2002" s="10" t="s">
        <v>1994</v>
      </c>
      <c r="E2002" s="10" t="str">
        <f>"644020240514212209180179"</f>
        <v>644020240514212209180179</v>
      </c>
      <c r="F2002" s="9"/>
    </row>
    <row r="2003" s="2" customFormat="1" ht="30" customHeight="1" spans="1:6">
      <c r="A2003" s="9">
        <v>2000</v>
      </c>
      <c r="B2003" s="10" t="s">
        <v>1230</v>
      </c>
      <c r="C2003" s="10" t="s">
        <v>1231</v>
      </c>
      <c r="D2003" s="10" t="s">
        <v>1995</v>
      </c>
      <c r="E2003" s="10" t="str">
        <f>"644020240514220000180291"</f>
        <v>644020240514220000180291</v>
      </c>
      <c r="F2003" s="9"/>
    </row>
    <row r="2004" s="2" customFormat="1" ht="30" customHeight="1" spans="1:6">
      <c r="A2004" s="9">
        <v>2001</v>
      </c>
      <c r="B2004" s="10" t="s">
        <v>1230</v>
      </c>
      <c r="C2004" s="10" t="s">
        <v>1231</v>
      </c>
      <c r="D2004" s="10" t="s">
        <v>1996</v>
      </c>
      <c r="E2004" s="10" t="str">
        <f>"644020240514223959180410"</f>
        <v>644020240514223959180410</v>
      </c>
      <c r="F2004" s="9"/>
    </row>
    <row r="2005" s="2" customFormat="1" ht="30" customHeight="1" spans="1:6">
      <c r="A2005" s="9">
        <v>2002</v>
      </c>
      <c r="B2005" s="10" t="s">
        <v>1230</v>
      </c>
      <c r="C2005" s="10" t="s">
        <v>1231</v>
      </c>
      <c r="D2005" s="10" t="s">
        <v>1997</v>
      </c>
      <c r="E2005" s="10" t="str">
        <f>"644020240513224718177437"</f>
        <v>644020240513224718177437</v>
      </c>
      <c r="F2005" s="9"/>
    </row>
    <row r="2006" s="2" customFormat="1" ht="30" customHeight="1" spans="1:6">
      <c r="A2006" s="9">
        <v>2003</v>
      </c>
      <c r="B2006" s="10" t="s">
        <v>1230</v>
      </c>
      <c r="C2006" s="10" t="s">
        <v>1231</v>
      </c>
      <c r="D2006" s="10" t="s">
        <v>1998</v>
      </c>
      <c r="E2006" s="10" t="str">
        <f>"644020240514155456179381"</f>
        <v>644020240514155456179381</v>
      </c>
      <c r="F2006" s="9"/>
    </row>
    <row r="2007" s="2" customFormat="1" ht="30" customHeight="1" spans="1:6">
      <c r="A2007" s="9">
        <v>2004</v>
      </c>
      <c r="B2007" s="10" t="s">
        <v>1230</v>
      </c>
      <c r="C2007" s="10" t="s">
        <v>1231</v>
      </c>
      <c r="D2007" s="10" t="s">
        <v>505</v>
      </c>
      <c r="E2007" s="10" t="str">
        <f>"644020240514223926180409"</f>
        <v>644020240514223926180409</v>
      </c>
      <c r="F2007" s="9"/>
    </row>
    <row r="2008" s="2" customFormat="1" ht="30" customHeight="1" spans="1:6">
      <c r="A2008" s="9">
        <v>2005</v>
      </c>
      <c r="B2008" s="10" t="s">
        <v>1230</v>
      </c>
      <c r="C2008" s="10" t="s">
        <v>1231</v>
      </c>
      <c r="D2008" s="10" t="s">
        <v>1999</v>
      </c>
      <c r="E2008" s="10" t="str">
        <f>"644020240514070036177775"</f>
        <v>644020240514070036177775</v>
      </c>
      <c r="F2008" s="9"/>
    </row>
    <row r="2009" s="2" customFormat="1" ht="30" customHeight="1" spans="1:6">
      <c r="A2009" s="9">
        <v>2006</v>
      </c>
      <c r="B2009" s="10" t="s">
        <v>1230</v>
      </c>
      <c r="C2009" s="10" t="s">
        <v>1231</v>
      </c>
      <c r="D2009" s="10" t="s">
        <v>2000</v>
      </c>
      <c r="E2009" s="10" t="str">
        <f>"644020240514223450180389"</f>
        <v>644020240514223450180389</v>
      </c>
      <c r="F2009" s="9"/>
    </row>
    <row r="2010" s="2" customFormat="1" ht="30" customHeight="1" spans="1:6">
      <c r="A2010" s="9">
        <v>2007</v>
      </c>
      <c r="B2010" s="10" t="s">
        <v>1230</v>
      </c>
      <c r="C2010" s="10" t="s">
        <v>1231</v>
      </c>
      <c r="D2010" s="10" t="s">
        <v>2001</v>
      </c>
      <c r="E2010" s="10" t="str">
        <f>"644020240514224516180422"</f>
        <v>644020240514224516180422</v>
      </c>
      <c r="F2010" s="9"/>
    </row>
    <row r="2011" s="2" customFormat="1" ht="30" customHeight="1" spans="1:6">
      <c r="A2011" s="9">
        <v>2008</v>
      </c>
      <c r="B2011" s="10" t="s">
        <v>1230</v>
      </c>
      <c r="C2011" s="10" t="s">
        <v>1231</v>
      </c>
      <c r="D2011" s="10" t="s">
        <v>2002</v>
      </c>
      <c r="E2011" s="10" t="str">
        <f>"644020240514224319180420"</f>
        <v>644020240514224319180420</v>
      </c>
      <c r="F2011" s="9"/>
    </row>
    <row r="2012" s="2" customFormat="1" ht="30" customHeight="1" spans="1:6">
      <c r="A2012" s="9">
        <v>2009</v>
      </c>
      <c r="B2012" s="10" t="s">
        <v>1230</v>
      </c>
      <c r="C2012" s="10" t="s">
        <v>1231</v>
      </c>
      <c r="D2012" s="10" t="s">
        <v>2003</v>
      </c>
      <c r="E2012" s="10" t="str">
        <f>"644020240514224128180417"</f>
        <v>644020240514224128180417</v>
      </c>
      <c r="F2012" s="9"/>
    </row>
    <row r="2013" s="2" customFormat="1" ht="30" customHeight="1" spans="1:6">
      <c r="A2013" s="9">
        <v>2010</v>
      </c>
      <c r="B2013" s="10" t="s">
        <v>1230</v>
      </c>
      <c r="C2013" s="10" t="s">
        <v>1231</v>
      </c>
      <c r="D2013" s="10" t="s">
        <v>2004</v>
      </c>
      <c r="E2013" s="10" t="str">
        <f>"644020240514214431180238"</f>
        <v>644020240514214431180238</v>
      </c>
      <c r="F2013" s="9"/>
    </row>
    <row r="2014" s="2" customFormat="1" ht="30" customHeight="1" spans="1:6">
      <c r="A2014" s="9">
        <v>2011</v>
      </c>
      <c r="B2014" s="10" t="s">
        <v>1230</v>
      </c>
      <c r="C2014" s="10" t="s">
        <v>1231</v>
      </c>
      <c r="D2014" s="10" t="s">
        <v>2005</v>
      </c>
      <c r="E2014" s="10" t="str">
        <f>"644020240513160715175824"</f>
        <v>644020240513160715175824</v>
      </c>
      <c r="F2014" s="9"/>
    </row>
    <row r="2015" s="2" customFormat="1" ht="30" customHeight="1" spans="1:6">
      <c r="A2015" s="9">
        <v>2012</v>
      </c>
      <c r="B2015" s="10" t="s">
        <v>1230</v>
      </c>
      <c r="C2015" s="10" t="s">
        <v>1231</v>
      </c>
      <c r="D2015" s="10" t="s">
        <v>2006</v>
      </c>
      <c r="E2015" s="10" t="str">
        <f>"644020240512233627171842"</f>
        <v>644020240512233627171842</v>
      </c>
      <c r="F2015" s="9"/>
    </row>
    <row r="2016" s="2" customFormat="1" ht="30" customHeight="1" spans="1:6">
      <c r="A2016" s="9">
        <v>2013</v>
      </c>
      <c r="B2016" s="10" t="s">
        <v>1230</v>
      </c>
      <c r="C2016" s="10" t="s">
        <v>1231</v>
      </c>
      <c r="D2016" s="10" t="s">
        <v>2007</v>
      </c>
      <c r="E2016" s="10" t="str">
        <f>"644020240514222050180355"</f>
        <v>644020240514222050180355</v>
      </c>
      <c r="F2016" s="9"/>
    </row>
    <row r="2017" s="2" customFormat="1" ht="30" customHeight="1" spans="1:6">
      <c r="A2017" s="9">
        <v>2014</v>
      </c>
      <c r="B2017" s="10" t="s">
        <v>1230</v>
      </c>
      <c r="C2017" s="10" t="s">
        <v>1231</v>
      </c>
      <c r="D2017" s="10" t="s">
        <v>2008</v>
      </c>
      <c r="E2017" s="10" t="str">
        <f>"644020240513221915177321"</f>
        <v>644020240513221915177321</v>
      </c>
      <c r="F2017" s="9"/>
    </row>
    <row r="2018" s="2" customFormat="1" ht="30" customHeight="1" spans="1:6">
      <c r="A2018" s="9">
        <v>2015</v>
      </c>
      <c r="B2018" s="10" t="s">
        <v>1230</v>
      </c>
      <c r="C2018" s="10" t="s">
        <v>1231</v>
      </c>
      <c r="D2018" s="10" t="s">
        <v>2009</v>
      </c>
      <c r="E2018" s="10" t="str">
        <f>"644020240514230722180478"</f>
        <v>644020240514230722180478</v>
      </c>
      <c r="F2018" s="9"/>
    </row>
    <row r="2019" s="2" customFormat="1" ht="30" customHeight="1" spans="1:6">
      <c r="A2019" s="9">
        <v>2016</v>
      </c>
      <c r="B2019" s="10" t="s">
        <v>1230</v>
      </c>
      <c r="C2019" s="10" t="s">
        <v>1231</v>
      </c>
      <c r="D2019" s="10" t="s">
        <v>2010</v>
      </c>
      <c r="E2019" s="10" t="str">
        <f>"644020240512095234168336"</f>
        <v>644020240512095234168336</v>
      </c>
      <c r="F2019" s="9"/>
    </row>
    <row r="2020" s="2" customFormat="1" ht="30" customHeight="1" spans="1:6">
      <c r="A2020" s="9">
        <v>2017</v>
      </c>
      <c r="B2020" s="10" t="s">
        <v>1230</v>
      </c>
      <c r="C2020" s="10" t="s">
        <v>1231</v>
      </c>
      <c r="D2020" s="10" t="s">
        <v>2011</v>
      </c>
      <c r="E2020" s="10" t="str">
        <f>"644020240514230858180482"</f>
        <v>644020240514230858180482</v>
      </c>
      <c r="F2020" s="9"/>
    </row>
    <row r="2021" s="2" customFormat="1" ht="30" customHeight="1" spans="1:6">
      <c r="A2021" s="9">
        <v>2018</v>
      </c>
      <c r="B2021" s="10" t="s">
        <v>1230</v>
      </c>
      <c r="C2021" s="10" t="s">
        <v>1231</v>
      </c>
      <c r="D2021" s="10" t="s">
        <v>2012</v>
      </c>
      <c r="E2021" s="10" t="str">
        <f>"644020240513112509173924"</f>
        <v>644020240513112509173924</v>
      </c>
      <c r="F2021" s="9"/>
    </row>
    <row r="2022" s="2" customFormat="1" ht="30" customHeight="1" spans="1:6">
      <c r="A2022" s="9">
        <v>2019</v>
      </c>
      <c r="B2022" s="10" t="s">
        <v>1230</v>
      </c>
      <c r="C2022" s="10" t="s">
        <v>1231</v>
      </c>
      <c r="D2022" s="10" t="s">
        <v>2013</v>
      </c>
      <c r="E2022" s="10" t="str">
        <f>"644020240512112223168848"</f>
        <v>644020240512112223168848</v>
      </c>
      <c r="F2022" s="9"/>
    </row>
    <row r="2023" s="2" customFormat="1" ht="30" customHeight="1" spans="1:6">
      <c r="A2023" s="9">
        <v>2020</v>
      </c>
      <c r="B2023" s="10" t="s">
        <v>1230</v>
      </c>
      <c r="C2023" s="10" t="s">
        <v>1231</v>
      </c>
      <c r="D2023" s="10" t="s">
        <v>2014</v>
      </c>
      <c r="E2023" s="10" t="str">
        <f>"644020240514225421180442"</f>
        <v>644020240514225421180442</v>
      </c>
      <c r="F2023" s="9"/>
    </row>
    <row r="2024" s="2" customFormat="1" ht="30" customHeight="1" spans="1:6">
      <c r="A2024" s="9">
        <v>2021</v>
      </c>
      <c r="B2024" s="10" t="s">
        <v>1230</v>
      </c>
      <c r="C2024" s="10" t="s">
        <v>1231</v>
      </c>
      <c r="D2024" s="10" t="s">
        <v>2015</v>
      </c>
      <c r="E2024" s="10" t="str">
        <f>"644020240514231822180499"</f>
        <v>644020240514231822180499</v>
      </c>
      <c r="F2024" s="9"/>
    </row>
    <row r="2025" s="2" customFormat="1" ht="30" customHeight="1" spans="1:6">
      <c r="A2025" s="9">
        <v>2022</v>
      </c>
      <c r="B2025" s="10" t="s">
        <v>1230</v>
      </c>
      <c r="C2025" s="10" t="s">
        <v>1231</v>
      </c>
      <c r="D2025" s="10" t="s">
        <v>2016</v>
      </c>
      <c r="E2025" s="10" t="str">
        <f>"644020240513234245177610"</f>
        <v>644020240513234245177610</v>
      </c>
      <c r="F2025" s="9"/>
    </row>
    <row r="2026" s="2" customFormat="1" ht="30" customHeight="1" spans="1:6">
      <c r="A2026" s="9">
        <v>2023</v>
      </c>
      <c r="B2026" s="10" t="s">
        <v>1230</v>
      </c>
      <c r="C2026" s="10" t="s">
        <v>1231</v>
      </c>
      <c r="D2026" s="10" t="s">
        <v>2017</v>
      </c>
      <c r="E2026" s="10" t="str">
        <f>"644020240514230655180475"</f>
        <v>644020240514230655180475</v>
      </c>
      <c r="F2026" s="9"/>
    </row>
    <row r="2027" s="2" customFormat="1" ht="30" customHeight="1" spans="1:6">
      <c r="A2027" s="9">
        <v>2024</v>
      </c>
      <c r="B2027" s="10" t="s">
        <v>1230</v>
      </c>
      <c r="C2027" s="10" t="s">
        <v>1231</v>
      </c>
      <c r="D2027" s="10" t="s">
        <v>2018</v>
      </c>
      <c r="E2027" s="10" t="str">
        <f>"644020240513221418177297"</f>
        <v>644020240513221418177297</v>
      </c>
      <c r="F2027" s="9"/>
    </row>
    <row r="2028" s="2" customFormat="1" ht="30" customHeight="1" spans="1:6">
      <c r="A2028" s="9">
        <v>2025</v>
      </c>
      <c r="B2028" s="10" t="s">
        <v>1230</v>
      </c>
      <c r="C2028" s="10" t="s">
        <v>1231</v>
      </c>
      <c r="D2028" s="10" t="s">
        <v>2019</v>
      </c>
      <c r="E2028" s="10" t="str">
        <f>"644020240513101102173217"</f>
        <v>644020240513101102173217</v>
      </c>
      <c r="F2028" s="9"/>
    </row>
    <row r="2029" s="2" customFormat="1" ht="30" customHeight="1" spans="1:6">
      <c r="A2029" s="9">
        <v>2026</v>
      </c>
      <c r="B2029" s="10" t="s">
        <v>1230</v>
      </c>
      <c r="C2029" s="10" t="s">
        <v>1231</v>
      </c>
      <c r="D2029" s="10" t="s">
        <v>2020</v>
      </c>
      <c r="E2029" s="10" t="str">
        <f>"644020240514221452180336"</f>
        <v>644020240514221452180336</v>
      </c>
      <c r="F2029" s="9"/>
    </row>
    <row r="2030" s="2" customFormat="1" ht="30" customHeight="1" spans="1:6">
      <c r="A2030" s="9">
        <v>2027</v>
      </c>
      <c r="B2030" s="10" t="s">
        <v>1230</v>
      </c>
      <c r="C2030" s="10" t="s">
        <v>1231</v>
      </c>
      <c r="D2030" s="10" t="s">
        <v>2021</v>
      </c>
      <c r="E2030" s="10" t="str">
        <f>"644020240513153039175474"</f>
        <v>644020240513153039175474</v>
      </c>
      <c r="F2030" s="9"/>
    </row>
    <row r="2031" s="2" customFormat="1" ht="30" customHeight="1" spans="1:6">
      <c r="A2031" s="9">
        <v>2028</v>
      </c>
      <c r="B2031" s="10" t="s">
        <v>1230</v>
      </c>
      <c r="C2031" s="10" t="s">
        <v>1231</v>
      </c>
      <c r="D2031" s="10" t="s">
        <v>2022</v>
      </c>
      <c r="E2031" s="10" t="str">
        <f>"644020240514232939180518"</f>
        <v>644020240514232939180518</v>
      </c>
      <c r="F2031" s="9"/>
    </row>
    <row r="2032" s="2" customFormat="1" ht="30" customHeight="1" spans="1:6">
      <c r="A2032" s="9">
        <v>2029</v>
      </c>
      <c r="B2032" s="10" t="s">
        <v>1230</v>
      </c>
      <c r="C2032" s="10" t="s">
        <v>1231</v>
      </c>
      <c r="D2032" s="10" t="s">
        <v>2023</v>
      </c>
      <c r="E2032" s="10" t="str">
        <f>"644020240515000504180573"</f>
        <v>644020240515000504180573</v>
      </c>
      <c r="F2032" s="9"/>
    </row>
    <row r="2033" s="2" customFormat="1" ht="30" customHeight="1" spans="1:6">
      <c r="A2033" s="9">
        <v>2030</v>
      </c>
      <c r="B2033" s="10" t="s">
        <v>1230</v>
      </c>
      <c r="C2033" s="10" t="s">
        <v>1231</v>
      </c>
      <c r="D2033" s="10" t="s">
        <v>2024</v>
      </c>
      <c r="E2033" s="10" t="str">
        <f>"644020240514233739180532"</f>
        <v>644020240514233739180532</v>
      </c>
      <c r="F2033" s="9"/>
    </row>
    <row r="2034" s="2" customFormat="1" ht="30" customHeight="1" spans="1:6">
      <c r="A2034" s="9">
        <v>2031</v>
      </c>
      <c r="B2034" s="10" t="s">
        <v>1230</v>
      </c>
      <c r="C2034" s="10" t="s">
        <v>1231</v>
      </c>
      <c r="D2034" s="10" t="s">
        <v>2025</v>
      </c>
      <c r="E2034" s="10" t="str">
        <f>"644020240514235822180565"</f>
        <v>644020240514235822180565</v>
      </c>
      <c r="F2034" s="9"/>
    </row>
    <row r="2035" s="2" customFormat="1" ht="30" customHeight="1" spans="1:6">
      <c r="A2035" s="9">
        <v>2032</v>
      </c>
      <c r="B2035" s="10" t="s">
        <v>1230</v>
      </c>
      <c r="C2035" s="10" t="s">
        <v>1231</v>
      </c>
      <c r="D2035" s="10" t="s">
        <v>2026</v>
      </c>
      <c r="E2035" s="10" t="str">
        <f>"644020240515001911180592"</f>
        <v>644020240515001911180592</v>
      </c>
      <c r="F2035" s="9"/>
    </row>
    <row r="2036" s="2" customFormat="1" ht="30" customHeight="1" spans="1:6">
      <c r="A2036" s="9">
        <v>2033</v>
      </c>
      <c r="B2036" s="10" t="s">
        <v>1230</v>
      </c>
      <c r="C2036" s="10" t="s">
        <v>1231</v>
      </c>
      <c r="D2036" s="10" t="s">
        <v>2027</v>
      </c>
      <c r="E2036" s="10" t="str">
        <f>"644020240515002502180597"</f>
        <v>644020240515002502180597</v>
      </c>
      <c r="F2036" s="9"/>
    </row>
    <row r="2037" s="2" customFormat="1" ht="30" customHeight="1" spans="1:6">
      <c r="A2037" s="9">
        <v>2034</v>
      </c>
      <c r="B2037" s="10" t="s">
        <v>1230</v>
      </c>
      <c r="C2037" s="10" t="s">
        <v>1231</v>
      </c>
      <c r="D2037" s="10" t="s">
        <v>2028</v>
      </c>
      <c r="E2037" s="10" t="str">
        <f>"644020240514184817179861"</f>
        <v>644020240514184817179861</v>
      </c>
      <c r="F2037" s="9"/>
    </row>
    <row r="2038" s="2" customFormat="1" ht="30" customHeight="1" spans="1:6">
      <c r="A2038" s="9">
        <v>2035</v>
      </c>
      <c r="B2038" s="10" t="s">
        <v>1230</v>
      </c>
      <c r="C2038" s="10" t="s">
        <v>1231</v>
      </c>
      <c r="D2038" s="10" t="s">
        <v>2029</v>
      </c>
      <c r="E2038" s="10" t="str">
        <f>"644020240514162922179497"</f>
        <v>644020240514162922179497</v>
      </c>
      <c r="F2038" s="9"/>
    </row>
    <row r="2039" s="2" customFormat="1" ht="30" customHeight="1" spans="1:6">
      <c r="A2039" s="9">
        <v>2036</v>
      </c>
      <c r="B2039" s="10" t="s">
        <v>1230</v>
      </c>
      <c r="C2039" s="10" t="s">
        <v>1231</v>
      </c>
      <c r="D2039" s="10" t="s">
        <v>2030</v>
      </c>
      <c r="E2039" s="10" t="str">
        <f>"644020240515010244180612"</f>
        <v>644020240515010244180612</v>
      </c>
      <c r="F2039" s="9"/>
    </row>
    <row r="2040" s="2" customFormat="1" ht="30" customHeight="1" spans="1:6">
      <c r="A2040" s="9">
        <v>2037</v>
      </c>
      <c r="B2040" s="10" t="s">
        <v>1230</v>
      </c>
      <c r="C2040" s="10" t="s">
        <v>1231</v>
      </c>
      <c r="D2040" s="10" t="s">
        <v>2031</v>
      </c>
      <c r="E2040" s="10" t="str">
        <f>"644020240515004305180608"</f>
        <v>644020240515004305180608</v>
      </c>
      <c r="F2040" s="9"/>
    </row>
    <row r="2041" s="2" customFormat="1" ht="30" customHeight="1" spans="1:6">
      <c r="A2041" s="9">
        <v>2038</v>
      </c>
      <c r="B2041" s="10" t="s">
        <v>1230</v>
      </c>
      <c r="C2041" s="10" t="s">
        <v>1231</v>
      </c>
      <c r="D2041" s="10" t="s">
        <v>2032</v>
      </c>
      <c r="E2041" s="10" t="str">
        <f>"644020240515013101180620"</f>
        <v>644020240515013101180620</v>
      </c>
      <c r="F2041" s="9"/>
    </row>
    <row r="2042" s="2" customFormat="1" ht="30" customHeight="1" spans="1:6">
      <c r="A2042" s="9">
        <v>2039</v>
      </c>
      <c r="B2042" s="10" t="s">
        <v>1230</v>
      </c>
      <c r="C2042" s="10" t="s">
        <v>1231</v>
      </c>
      <c r="D2042" s="10" t="s">
        <v>2033</v>
      </c>
      <c r="E2042" s="10" t="str">
        <f>"644020240514183805179843"</f>
        <v>644020240514183805179843</v>
      </c>
      <c r="F2042" s="9"/>
    </row>
    <row r="2043" s="2" customFormat="1" ht="30" customHeight="1" spans="1:6">
      <c r="A2043" s="9">
        <v>2040</v>
      </c>
      <c r="B2043" s="10" t="s">
        <v>1230</v>
      </c>
      <c r="C2043" s="10" t="s">
        <v>1231</v>
      </c>
      <c r="D2043" s="10" t="s">
        <v>2034</v>
      </c>
      <c r="E2043" s="10" t="str">
        <f>"644020240515011305180616"</f>
        <v>644020240515011305180616</v>
      </c>
      <c r="F2043" s="9"/>
    </row>
    <row r="2044" s="2" customFormat="1" ht="30" customHeight="1" spans="1:6">
      <c r="A2044" s="9">
        <v>2041</v>
      </c>
      <c r="B2044" s="10" t="s">
        <v>1230</v>
      </c>
      <c r="C2044" s="10" t="s">
        <v>1231</v>
      </c>
      <c r="D2044" s="10" t="s">
        <v>2035</v>
      </c>
      <c r="E2044" s="10" t="str">
        <f>"644020240514064853177770"</f>
        <v>644020240514064853177770</v>
      </c>
      <c r="F2044" s="9"/>
    </row>
    <row r="2045" s="2" customFormat="1" ht="30" customHeight="1" spans="1:6">
      <c r="A2045" s="9">
        <v>2042</v>
      </c>
      <c r="B2045" s="10" t="s">
        <v>1230</v>
      </c>
      <c r="C2045" s="10" t="s">
        <v>1231</v>
      </c>
      <c r="D2045" s="10" t="s">
        <v>2036</v>
      </c>
      <c r="E2045" s="10" t="str">
        <f>"644020240514093708178144"</f>
        <v>644020240514093708178144</v>
      </c>
      <c r="F2045" s="9"/>
    </row>
    <row r="2046" s="2" customFormat="1" ht="30" customHeight="1" spans="1:6">
      <c r="A2046" s="9">
        <v>2043</v>
      </c>
      <c r="B2046" s="10" t="s">
        <v>1230</v>
      </c>
      <c r="C2046" s="10" t="s">
        <v>1231</v>
      </c>
      <c r="D2046" s="10" t="s">
        <v>2037</v>
      </c>
      <c r="E2046" s="10" t="str">
        <f>"644020240515073609180652"</f>
        <v>644020240515073609180652</v>
      </c>
      <c r="F2046" s="9"/>
    </row>
    <row r="2047" s="2" customFormat="1" ht="30" customHeight="1" spans="1:6">
      <c r="A2047" s="9">
        <v>2044</v>
      </c>
      <c r="B2047" s="10" t="s">
        <v>1230</v>
      </c>
      <c r="C2047" s="10" t="s">
        <v>1231</v>
      </c>
      <c r="D2047" s="10" t="s">
        <v>2038</v>
      </c>
      <c r="E2047" s="10" t="str">
        <f>"644020240515072453180648"</f>
        <v>644020240515072453180648</v>
      </c>
      <c r="F2047" s="9"/>
    </row>
    <row r="2048" s="2" customFormat="1" ht="30" customHeight="1" spans="1:6">
      <c r="A2048" s="9">
        <v>2045</v>
      </c>
      <c r="B2048" s="10" t="s">
        <v>1230</v>
      </c>
      <c r="C2048" s="10" t="s">
        <v>1231</v>
      </c>
      <c r="D2048" s="10" t="s">
        <v>2039</v>
      </c>
      <c r="E2048" s="10" t="str">
        <f>"644020240514174139179736"</f>
        <v>644020240514174139179736</v>
      </c>
      <c r="F2048" s="9"/>
    </row>
    <row r="2049" s="2" customFormat="1" ht="30" customHeight="1" spans="1:6">
      <c r="A2049" s="9">
        <v>2046</v>
      </c>
      <c r="B2049" s="10" t="s">
        <v>1230</v>
      </c>
      <c r="C2049" s="10" t="s">
        <v>1231</v>
      </c>
      <c r="D2049" s="10" t="s">
        <v>2040</v>
      </c>
      <c r="E2049" s="10" t="str">
        <f>"644020240514080519177809"</f>
        <v>644020240514080519177809</v>
      </c>
      <c r="F2049" s="9"/>
    </row>
    <row r="2050" s="2" customFormat="1" ht="30" customHeight="1" spans="1:6">
      <c r="A2050" s="9">
        <v>2047</v>
      </c>
      <c r="B2050" s="10" t="s">
        <v>1230</v>
      </c>
      <c r="C2050" s="10" t="s">
        <v>1231</v>
      </c>
      <c r="D2050" s="10" t="s">
        <v>2041</v>
      </c>
      <c r="E2050" s="10" t="str">
        <f>"644020240515080540180669"</f>
        <v>644020240515080540180669</v>
      </c>
      <c r="F2050" s="9"/>
    </row>
    <row r="2051" s="2" customFormat="1" ht="30" customHeight="1" spans="1:6">
      <c r="A2051" s="9">
        <v>2048</v>
      </c>
      <c r="B2051" s="10" t="s">
        <v>1230</v>
      </c>
      <c r="C2051" s="10" t="s">
        <v>1231</v>
      </c>
      <c r="D2051" s="10" t="s">
        <v>2042</v>
      </c>
      <c r="E2051" s="10" t="str">
        <f>"644020240514230714180477"</f>
        <v>644020240514230714180477</v>
      </c>
      <c r="F2051" s="9"/>
    </row>
    <row r="2052" s="2" customFormat="1" ht="30" customHeight="1" spans="1:6">
      <c r="A2052" s="9">
        <v>2049</v>
      </c>
      <c r="B2052" s="10" t="s">
        <v>1230</v>
      </c>
      <c r="C2052" s="10" t="s">
        <v>1231</v>
      </c>
      <c r="D2052" s="10" t="s">
        <v>568</v>
      </c>
      <c r="E2052" s="10" t="str">
        <f>"644020240515042126180632"</f>
        <v>644020240515042126180632</v>
      </c>
      <c r="F2052" s="9"/>
    </row>
    <row r="2053" s="2" customFormat="1" ht="30" customHeight="1" spans="1:6">
      <c r="A2053" s="9">
        <v>2050</v>
      </c>
      <c r="B2053" s="10" t="s">
        <v>1230</v>
      </c>
      <c r="C2053" s="10" t="s">
        <v>1231</v>
      </c>
      <c r="D2053" s="10" t="s">
        <v>2043</v>
      </c>
      <c r="E2053" s="10" t="str">
        <f>"644020240515081419180680"</f>
        <v>644020240515081419180680</v>
      </c>
      <c r="F2053" s="9"/>
    </row>
    <row r="2054" s="2" customFormat="1" ht="30" customHeight="1" spans="1:6">
      <c r="A2054" s="9">
        <v>2051</v>
      </c>
      <c r="B2054" s="10" t="s">
        <v>1230</v>
      </c>
      <c r="C2054" s="10" t="s">
        <v>1231</v>
      </c>
      <c r="D2054" s="10" t="s">
        <v>2044</v>
      </c>
      <c r="E2054" s="10" t="str">
        <f>"644020240514213224180212"</f>
        <v>644020240514213224180212</v>
      </c>
      <c r="F2054" s="9"/>
    </row>
    <row r="2055" s="2" customFormat="1" ht="30" customHeight="1" spans="1:6">
      <c r="A2055" s="9">
        <v>2052</v>
      </c>
      <c r="B2055" s="10" t="s">
        <v>1230</v>
      </c>
      <c r="C2055" s="10" t="s">
        <v>1231</v>
      </c>
      <c r="D2055" s="10" t="s">
        <v>1191</v>
      </c>
      <c r="E2055" s="10" t="str">
        <f>"644020240515081108180674"</f>
        <v>644020240515081108180674</v>
      </c>
      <c r="F2055" s="9"/>
    </row>
    <row r="2056" s="2" customFormat="1" ht="30" customHeight="1" spans="1:6">
      <c r="A2056" s="9">
        <v>2053</v>
      </c>
      <c r="B2056" s="10" t="s">
        <v>1230</v>
      </c>
      <c r="C2056" s="10" t="s">
        <v>1231</v>
      </c>
      <c r="D2056" s="10" t="s">
        <v>2045</v>
      </c>
      <c r="E2056" s="10" t="str">
        <f>"644020240514153212179308"</f>
        <v>644020240514153212179308</v>
      </c>
      <c r="F2056" s="9"/>
    </row>
    <row r="2057" s="2" customFormat="1" ht="30" customHeight="1" spans="1:6">
      <c r="A2057" s="9">
        <v>2054</v>
      </c>
      <c r="B2057" s="10" t="s">
        <v>1230</v>
      </c>
      <c r="C2057" s="10" t="s">
        <v>1231</v>
      </c>
      <c r="D2057" s="10" t="s">
        <v>2046</v>
      </c>
      <c r="E2057" s="10" t="str">
        <f>"644020240515090659180777"</f>
        <v>644020240515090659180777</v>
      </c>
      <c r="F2057" s="9"/>
    </row>
    <row r="2058" s="2" customFormat="1" ht="30" customHeight="1" spans="1:6">
      <c r="A2058" s="9">
        <v>2055</v>
      </c>
      <c r="B2058" s="10" t="s">
        <v>1230</v>
      </c>
      <c r="C2058" s="10" t="s">
        <v>1231</v>
      </c>
      <c r="D2058" s="10" t="s">
        <v>2047</v>
      </c>
      <c r="E2058" s="10" t="str">
        <f>"644020240513084019172353"</f>
        <v>644020240513084019172353</v>
      </c>
      <c r="F2058" s="9"/>
    </row>
    <row r="2059" s="2" customFormat="1" ht="30" customHeight="1" spans="1:6">
      <c r="A2059" s="9">
        <v>2056</v>
      </c>
      <c r="B2059" s="10" t="s">
        <v>1230</v>
      </c>
      <c r="C2059" s="10" t="s">
        <v>1231</v>
      </c>
      <c r="D2059" s="10" t="s">
        <v>2048</v>
      </c>
      <c r="E2059" s="10" t="str">
        <f>"644020240515090926180793"</f>
        <v>644020240515090926180793</v>
      </c>
      <c r="F2059" s="9"/>
    </row>
    <row r="2060" s="2" customFormat="1" ht="30" customHeight="1" spans="1:6">
      <c r="A2060" s="9">
        <v>2057</v>
      </c>
      <c r="B2060" s="10" t="s">
        <v>1230</v>
      </c>
      <c r="C2060" s="10" t="s">
        <v>1231</v>
      </c>
      <c r="D2060" s="10" t="s">
        <v>2049</v>
      </c>
      <c r="E2060" s="10" t="str">
        <f>"644020240514093416178130"</f>
        <v>644020240514093416178130</v>
      </c>
      <c r="F2060" s="9"/>
    </row>
    <row r="2061" s="2" customFormat="1" ht="30" customHeight="1" spans="1:6">
      <c r="A2061" s="9">
        <v>2058</v>
      </c>
      <c r="B2061" s="10" t="s">
        <v>1230</v>
      </c>
      <c r="C2061" s="10" t="s">
        <v>1231</v>
      </c>
      <c r="D2061" s="10" t="s">
        <v>2050</v>
      </c>
      <c r="E2061" s="10" t="str">
        <f>"644020240513124217174374"</f>
        <v>644020240513124217174374</v>
      </c>
      <c r="F2061" s="9"/>
    </row>
    <row r="2062" s="2" customFormat="1" ht="30" customHeight="1" spans="1:6">
      <c r="A2062" s="9">
        <v>2059</v>
      </c>
      <c r="B2062" s="10" t="s">
        <v>1230</v>
      </c>
      <c r="C2062" s="10" t="s">
        <v>1231</v>
      </c>
      <c r="D2062" s="10" t="s">
        <v>2051</v>
      </c>
      <c r="E2062" s="10" t="str">
        <f>"644020240513111901173872"</f>
        <v>644020240513111901173872</v>
      </c>
      <c r="F2062" s="9"/>
    </row>
    <row r="2063" s="2" customFormat="1" ht="30" customHeight="1" spans="1:6">
      <c r="A2063" s="9">
        <v>2060</v>
      </c>
      <c r="B2063" s="10" t="s">
        <v>1230</v>
      </c>
      <c r="C2063" s="10" t="s">
        <v>1231</v>
      </c>
      <c r="D2063" s="10" t="s">
        <v>2052</v>
      </c>
      <c r="E2063" s="10" t="str">
        <f>"644020240512151946169726"</f>
        <v>644020240512151946169726</v>
      </c>
      <c r="F2063" s="9"/>
    </row>
    <row r="2064" s="2" customFormat="1" ht="30" customHeight="1" spans="1:6">
      <c r="A2064" s="9">
        <v>2061</v>
      </c>
      <c r="B2064" s="10" t="s">
        <v>1230</v>
      </c>
      <c r="C2064" s="10" t="s">
        <v>1231</v>
      </c>
      <c r="D2064" s="10" t="s">
        <v>2053</v>
      </c>
      <c r="E2064" s="10" t="str">
        <f>"644020240514105808178592"</f>
        <v>644020240514105808178592</v>
      </c>
      <c r="F2064" s="9"/>
    </row>
    <row r="2065" s="2" customFormat="1" ht="30" customHeight="1" spans="1:6">
      <c r="A2065" s="9">
        <v>2062</v>
      </c>
      <c r="B2065" s="10" t="s">
        <v>1230</v>
      </c>
      <c r="C2065" s="10" t="s">
        <v>1231</v>
      </c>
      <c r="D2065" s="10" t="s">
        <v>2054</v>
      </c>
      <c r="E2065" s="10" t="str">
        <f>"644020240515082807180691"</f>
        <v>644020240515082807180691</v>
      </c>
      <c r="F2065" s="9"/>
    </row>
    <row r="2066" s="2" customFormat="1" ht="30" customHeight="1" spans="1:6">
      <c r="A2066" s="9">
        <v>2063</v>
      </c>
      <c r="B2066" s="10" t="s">
        <v>1230</v>
      </c>
      <c r="C2066" s="10" t="s">
        <v>1231</v>
      </c>
      <c r="D2066" s="10" t="s">
        <v>2055</v>
      </c>
      <c r="E2066" s="10" t="str">
        <f>"644020240515092410180833"</f>
        <v>644020240515092410180833</v>
      </c>
      <c r="F2066" s="9"/>
    </row>
    <row r="2067" s="2" customFormat="1" ht="30" customHeight="1" spans="1:6">
      <c r="A2067" s="9">
        <v>2064</v>
      </c>
      <c r="B2067" s="10" t="s">
        <v>1230</v>
      </c>
      <c r="C2067" s="10" t="s">
        <v>1231</v>
      </c>
      <c r="D2067" s="10" t="s">
        <v>2056</v>
      </c>
      <c r="E2067" s="10" t="str">
        <f>"644020240515085631180754"</f>
        <v>644020240515085631180754</v>
      </c>
      <c r="F2067" s="9"/>
    </row>
    <row r="2068" s="2" customFormat="1" ht="30" customHeight="1" spans="1:6">
      <c r="A2068" s="9">
        <v>2065</v>
      </c>
      <c r="B2068" s="10" t="s">
        <v>1230</v>
      </c>
      <c r="C2068" s="10" t="s">
        <v>1231</v>
      </c>
      <c r="D2068" s="10" t="s">
        <v>2057</v>
      </c>
      <c r="E2068" s="10" t="str">
        <f>"644020240515084059180719"</f>
        <v>644020240515084059180719</v>
      </c>
      <c r="F2068" s="9"/>
    </row>
    <row r="2069" s="2" customFormat="1" ht="30" customHeight="1" spans="1:6">
      <c r="A2069" s="9">
        <v>2066</v>
      </c>
      <c r="B2069" s="10" t="s">
        <v>1230</v>
      </c>
      <c r="C2069" s="10" t="s">
        <v>1231</v>
      </c>
      <c r="D2069" s="10" t="s">
        <v>2058</v>
      </c>
      <c r="E2069" s="10" t="str">
        <f>"644020240515093755180875"</f>
        <v>644020240515093755180875</v>
      </c>
      <c r="F2069" s="9"/>
    </row>
    <row r="2070" s="2" customFormat="1" ht="30" customHeight="1" spans="1:6">
      <c r="A2070" s="9">
        <v>2067</v>
      </c>
      <c r="B2070" s="10" t="s">
        <v>1230</v>
      </c>
      <c r="C2070" s="10" t="s">
        <v>1231</v>
      </c>
      <c r="D2070" s="10" t="s">
        <v>2059</v>
      </c>
      <c r="E2070" s="10" t="str">
        <f>"644020240513185632176500"</f>
        <v>644020240513185632176500</v>
      </c>
      <c r="F2070" s="9"/>
    </row>
    <row r="2071" s="2" customFormat="1" ht="30" customHeight="1" spans="1:6">
      <c r="A2071" s="9">
        <v>2068</v>
      </c>
      <c r="B2071" s="10" t="s">
        <v>1230</v>
      </c>
      <c r="C2071" s="10" t="s">
        <v>1231</v>
      </c>
      <c r="D2071" s="10" t="s">
        <v>2060</v>
      </c>
      <c r="E2071" s="10" t="str">
        <f>"644020240513162010175892"</f>
        <v>644020240513162010175892</v>
      </c>
      <c r="F2071" s="9"/>
    </row>
    <row r="2072" s="2" customFormat="1" ht="30" customHeight="1" spans="1:6">
      <c r="A2072" s="9">
        <v>2069</v>
      </c>
      <c r="B2072" s="10" t="s">
        <v>1230</v>
      </c>
      <c r="C2072" s="10" t="s">
        <v>1231</v>
      </c>
      <c r="D2072" s="10" t="s">
        <v>2061</v>
      </c>
      <c r="E2072" s="10" t="str">
        <f>"644020240515081833180683"</f>
        <v>644020240515081833180683</v>
      </c>
      <c r="F2072" s="9"/>
    </row>
    <row r="2073" s="2" customFormat="1" ht="30" customHeight="1" spans="1:6">
      <c r="A2073" s="9">
        <v>2070</v>
      </c>
      <c r="B2073" s="10" t="s">
        <v>1230</v>
      </c>
      <c r="C2073" s="10" t="s">
        <v>1231</v>
      </c>
      <c r="D2073" s="10" t="s">
        <v>2062</v>
      </c>
      <c r="E2073" s="10" t="str">
        <f>"644020240515094005180882"</f>
        <v>644020240515094005180882</v>
      </c>
      <c r="F2073" s="9"/>
    </row>
    <row r="2074" s="2" customFormat="1" ht="30" customHeight="1" spans="1:6">
      <c r="A2074" s="9">
        <v>2071</v>
      </c>
      <c r="B2074" s="10" t="s">
        <v>1230</v>
      </c>
      <c r="C2074" s="10" t="s">
        <v>1231</v>
      </c>
      <c r="D2074" s="10" t="s">
        <v>2063</v>
      </c>
      <c r="E2074" s="10" t="str">
        <f>"644020240514101046178313"</f>
        <v>644020240514101046178313</v>
      </c>
      <c r="F2074" s="9"/>
    </row>
    <row r="2075" s="2" customFormat="1" ht="30" customHeight="1" spans="1:6">
      <c r="A2075" s="9">
        <v>2072</v>
      </c>
      <c r="B2075" s="10" t="s">
        <v>1230</v>
      </c>
      <c r="C2075" s="10" t="s">
        <v>1231</v>
      </c>
      <c r="D2075" s="10" t="s">
        <v>2064</v>
      </c>
      <c r="E2075" s="10" t="str">
        <f>"644020240514151923179260"</f>
        <v>644020240514151923179260</v>
      </c>
      <c r="F2075" s="9"/>
    </row>
    <row r="2076" s="2" customFormat="1" ht="30" customHeight="1" spans="1:6">
      <c r="A2076" s="9">
        <v>2073</v>
      </c>
      <c r="B2076" s="10" t="s">
        <v>1230</v>
      </c>
      <c r="C2076" s="10" t="s">
        <v>1231</v>
      </c>
      <c r="D2076" s="10" t="s">
        <v>2065</v>
      </c>
      <c r="E2076" s="10" t="str">
        <f>"644020240515100124180946"</f>
        <v>644020240515100124180946</v>
      </c>
      <c r="F2076" s="9"/>
    </row>
    <row r="2077" s="2" customFormat="1" ht="30" customHeight="1" spans="1:6">
      <c r="A2077" s="9">
        <v>2074</v>
      </c>
      <c r="B2077" s="10" t="s">
        <v>1230</v>
      </c>
      <c r="C2077" s="10" t="s">
        <v>1231</v>
      </c>
      <c r="D2077" s="10" t="s">
        <v>2066</v>
      </c>
      <c r="E2077" s="10" t="str">
        <f>"644020240515100425180956"</f>
        <v>644020240515100425180956</v>
      </c>
      <c r="F2077" s="9"/>
    </row>
    <row r="2078" s="2" customFormat="1" ht="30" customHeight="1" spans="1:6">
      <c r="A2078" s="9">
        <v>2075</v>
      </c>
      <c r="B2078" s="10" t="s">
        <v>1230</v>
      </c>
      <c r="C2078" s="10" t="s">
        <v>1231</v>
      </c>
      <c r="D2078" s="10" t="s">
        <v>2067</v>
      </c>
      <c r="E2078" s="10" t="str">
        <f>"644020240515101042180975"</f>
        <v>644020240515101042180975</v>
      </c>
      <c r="F2078" s="9"/>
    </row>
    <row r="2079" s="2" customFormat="1" ht="30" customHeight="1" spans="1:6">
      <c r="A2079" s="9">
        <v>2076</v>
      </c>
      <c r="B2079" s="10" t="s">
        <v>1230</v>
      </c>
      <c r="C2079" s="10" t="s">
        <v>1231</v>
      </c>
      <c r="D2079" s="10" t="s">
        <v>2068</v>
      </c>
      <c r="E2079" s="10" t="str">
        <f>"644020240514182216179816"</f>
        <v>644020240514182216179816</v>
      </c>
      <c r="F2079" s="9"/>
    </row>
    <row r="2080" s="2" customFormat="1" ht="30" customHeight="1" spans="1:6">
      <c r="A2080" s="9">
        <v>2077</v>
      </c>
      <c r="B2080" s="10" t="s">
        <v>1230</v>
      </c>
      <c r="C2080" s="10" t="s">
        <v>1231</v>
      </c>
      <c r="D2080" s="10" t="s">
        <v>2069</v>
      </c>
      <c r="E2080" s="10" t="str">
        <f>"644020240515100717180964"</f>
        <v>644020240515100717180964</v>
      </c>
      <c r="F2080" s="9"/>
    </row>
    <row r="2081" s="2" customFormat="1" ht="30" customHeight="1" spans="1:6">
      <c r="A2081" s="9">
        <v>2078</v>
      </c>
      <c r="B2081" s="10" t="s">
        <v>1230</v>
      </c>
      <c r="C2081" s="10" t="s">
        <v>1231</v>
      </c>
      <c r="D2081" s="10" t="s">
        <v>2070</v>
      </c>
      <c r="E2081" s="10" t="str">
        <f>"644020240515095140180917"</f>
        <v>644020240515095140180917</v>
      </c>
      <c r="F2081" s="9"/>
    </row>
    <row r="2082" s="2" customFormat="1" ht="30" customHeight="1" spans="1:6">
      <c r="A2082" s="9">
        <v>2079</v>
      </c>
      <c r="B2082" s="10" t="s">
        <v>1230</v>
      </c>
      <c r="C2082" s="10" t="s">
        <v>1231</v>
      </c>
      <c r="D2082" s="10" t="s">
        <v>2071</v>
      </c>
      <c r="E2082" s="10" t="str">
        <f>"644020240513204558176903"</f>
        <v>644020240513204558176903</v>
      </c>
      <c r="F2082" s="9"/>
    </row>
    <row r="2083" s="2" customFormat="1" ht="30" customHeight="1" spans="1:6">
      <c r="A2083" s="9">
        <v>2080</v>
      </c>
      <c r="B2083" s="10" t="s">
        <v>1230</v>
      </c>
      <c r="C2083" s="10" t="s">
        <v>1231</v>
      </c>
      <c r="D2083" s="10" t="s">
        <v>2072</v>
      </c>
      <c r="E2083" s="10" t="str">
        <f>"644020240512221725171420"</f>
        <v>644020240512221725171420</v>
      </c>
      <c r="F2083" s="9"/>
    </row>
    <row r="2084" s="2" customFormat="1" ht="30" customHeight="1" spans="1:6">
      <c r="A2084" s="9">
        <v>2081</v>
      </c>
      <c r="B2084" s="10" t="s">
        <v>1230</v>
      </c>
      <c r="C2084" s="10" t="s">
        <v>1231</v>
      </c>
      <c r="D2084" s="10" t="s">
        <v>2073</v>
      </c>
      <c r="E2084" s="10" t="str">
        <f>"644020240515100747180965"</f>
        <v>644020240515100747180965</v>
      </c>
      <c r="F2084" s="9"/>
    </row>
    <row r="2085" s="2" customFormat="1" ht="30" customHeight="1" spans="1:6">
      <c r="A2085" s="9">
        <v>2082</v>
      </c>
      <c r="B2085" s="10" t="s">
        <v>1230</v>
      </c>
      <c r="C2085" s="10" t="s">
        <v>1231</v>
      </c>
      <c r="D2085" s="10" t="s">
        <v>2074</v>
      </c>
      <c r="E2085" s="10" t="str">
        <f>"644020240515101200180979"</f>
        <v>644020240515101200180979</v>
      </c>
      <c r="F2085" s="9"/>
    </row>
    <row r="2086" s="2" customFormat="1" ht="30" customHeight="1" spans="1:6">
      <c r="A2086" s="9">
        <v>2083</v>
      </c>
      <c r="B2086" s="10" t="s">
        <v>1230</v>
      </c>
      <c r="C2086" s="10" t="s">
        <v>1231</v>
      </c>
      <c r="D2086" s="10" t="s">
        <v>2075</v>
      </c>
      <c r="E2086" s="10" t="str">
        <f>"644020240515102037181009"</f>
        <v>644020240515102037181009</v>
      </c>
      <c r="F2086" s="9"/>
    </row>
    <row r="2087" s="2" customFormat="1" ht="30" customHeight="1" spans="1:6">
      <c r="A2087" s="9">
        <v>2084</v>
      </c>
      <c r="B2087" s="10" t="s">
        <v>1230</v>
      </c>
      <c r="C2087" s="10" t="s">
        <v>1231</v>
      </c>
      <c r="D2087" s="10" t="s">
        <v>2076</v>
      </c>
      <c r="E2087" s="10" t="str">
        <f>"644020240515083545180709"</f>
        <v>644020240515083545180709</v>
      </c>
      <c r="F2087" s="9"/>
    </row>
    <row r="2088" s="2" customFormat="1" ht="30" customHeight="1" spans="1:6">
      <c r="A2088" s="9">
        <v>2085</v>
      </c>
      <c r="B2088" s="10" t="s">
        <v>1230</v>
      </c>
      <c r="C2088" s="10" t="s">
        <v>1231</v>
      </c>
      <c r="D2088" s="10" t="s">
        <v>2077</v>
      </c>
      <c r="E2088" s="10" t="str">
        <f>"644020240514101807178361"</f>
        <v>644020240514101807178361</v>
      </c>
      <c r="F2088" s="9"/>
    </row>
    <row r="2089" s="2" customFormat="1" ht="30" customHeight="1" spans="1:6">
      <c r="A2089" s="9">
        <v>2086</v>
      </c>
      <c r="B2089" s="10" t="s">
        <v>1230</v>
      </c>
      <c r="C2089" s="10" t="s">
        <v>1231</v>
      </c>
      <c r="D2089" s="10" t="s">
        <v>2078</v>
      </c>
      <c r="E2089" s="10" t="str">
        <f>"644020240512130340169249"</f>
        <v>644020240512130340169249</v>
      </c>
      <c r="F2089" s="9"/>
    </row>
    <row r="2090" s="2" customFormat="1" ht="30" customHeight="1" spans="1:6">
      <c r="A2090" s="9">
        <v>2087</v>
      </c>
      <c r="B2090" s="10" t="s">
        <v>1230</v>
      </c>
      <c r="C2090" s="10" t="s">
        <v>1231</v>
      </c>
      <c r="D2090" s="10" t="s">
        <v>2079</v>
      </c>
      <c r="E2090" s="10" t="str">
        <f>"644020240515103903181080"</f>
        <v>644020240515103903181080</v>
      </c>
      <c r="F2090" s="9"/>
    </row>
    <row r="2091" s="2" customFormat="1" ht="30" customHeight="1" spans="1:6">
      <c r="A2091" s="9">
        <v>2088</v>
      </c>
      <c r="B2091" s="10" t="s">
        <v>1230</v>
      </c>
      <c r="C2091" s="10" t="s">
        <v>1231</v>
      </c>
      <c r="D2091" s="10" t="s">
        <v>2080</v>
      </c>
      <c r="E2091" s="10" t="str">
        <f>"644020240515102249181016"</f>
        <v>644020240515102249181016</v>
      </c>
      <c r="F2091" s="9"/>
    </row>
    <row r="2092" s="2" customFormat="1" ht="30" customHeight="1" spans="1:6">
      <c r="A2092" s="9">
        <v>2089</v>
      </c>
      <c r="B2092" s="10" t="s">
        <v>1230</v>
      </c>
      <c r="C2092" s="10" t="s">
        <v>1231</v>
      </c>
      <c r="D2092" s="10" t="s">
        <v>2081</v>
      </c>
      <c r="E2092" s="10" t="str">
        <f>"644020240515104200181084"</f>
        <v>644020240515104200181084</v>
      </c>
      <c r="F2092" s="9"/>
    </row>
    <row r="2093" s="2" customFormat="1" ht="30" customHeight="1" spans="1:6">
      <c r="A2093" s="9">
        <v>2090</v>
      </c>
      <c r="B2093" s="10" t="s">
        <v>1230</v>
      </c>
      <c r="C2093" s="10" t="s">
        <v>1231</v>
      </c>
      <c r="D2093" s="10" t="s">
        <v>2082</v>
      </c>
      <c r="E2093" s="10" t="str">
        <f>"644020240515101905181002"</f>
        <v>644020240515101905181002</v>
      </c>
      <c r="F2093" s="9"/>
    </row>
    <row r="2094" s="2" customFormat="1" ht="30" customHeight="1" spans="1:6">
      <c r="A2094" s="9">
        <v>2091</v>
      </c>
      <c r="B2094" s="10" t="s">
        <v>1230</v>
      </c>
      <c r="C2094" s="10" t="s">
        <v>1231</v>
      </c>
      <c r="D2094" s="10" t="s">
        <v>2083</v>
      </c>
      <c r="E2094" s="10" t="str">
        <f>"644020240514191314179913"</f>
        <v>644020240514191314179913</v>
      </c>
      <c r="F2094" s="9"/>
    </row>
    <row r="2095" s="2" customFormat="1" ht="30" customHeight="1" spans="1:6">
      <c r="A2095" s="9">
        <v>2092</v>
      </c>
      <c r="B2095" s="10" t="s">
        <v>1230</v>
      </c>
      <c r="C2095" s="10" t="s">
        <v>1231</v>
      </c>
      <c r="D2095" s="10" t="s">
        <v>2084</v>
      </c>
      <c r="E2095" s="10" t="str">
        <f>"644020240514163858179531"</f>
        <v>644020240514163858179531</v>
      </c>
      <c r="F2095" s="9"/>
    </row>
    <row r="2096" s="2" customFormat="1" ht="30" customHeight="1" spans="1:6">
      <c r="A2096" s="9">
        <v>2093</v>
      </c>
      <c r="B2096" s="10" t="s">
        <v>1230</v>
      </c>
      <c r="C2096" s="10" t="s">
        <v>1231</v>
      </c>
      <c r="D2096" s="10" t="s">
        <v>317</v>
      </c>
      <c r="E2096" s="10" t="str">
        <f>"644020240515101154180978"</f>
        <v>644020240515101154180978</v>
      </c>
      <c r="F2096" s="9"/>
    </row>
    <row r="2097" s="2" customFormat="1" ht="30" customHeight="1" spans="1:6">
      <c r="A2097" s="9">
        <v>2094</v>
      </c>
      <c r="B2097" s="10" t="s">
        <v>1230</v>
      </c>
      <c r="C2097" s="10" t="s">
        <v>1231</v>
      </c>
      <c r="D2097" s="10" t="s">
        <v>2085</v>
      </c>
      <c r="E2097" s="10" t="str">
        <f>"644020240515104912181110"</f>
        <v>644020240515104912181110</v>
      </c>
      <c r="F2097" s="9"/>
    </row>
    <row r="2098" s="2" customFormat="1" ht="30" customHeight="1" spans="1:6">
      <c r="A2098" s="9">
        <v>2095</v>
      </c>
      <c r="B2098" s="10" t="s">
        <v>1230</v>
      </c>
      <c r="C2098" s="10" t="s">
        <v>1231</v>
      </c>
      <c r="D2098" s="10" t="s">
        <v>2086</v>
      </c>
      <c r="E2098" s="10" t="str">
        <f>"644020240515104317181087"</f>
        <v>644020240515104317181087</v>
      </c>
      <c r="F2098" s="9"/>
    </row>
    <row r="2099" s="2" customFormat="1" ht="30" customHeight="1" spans="1:6">
      <c r="A2099" s="9">
        <v>2096</v>
      </c>
      <c r="B2099" s="10" t="s">
        <v>1230</v>
      </c>
      <c r="C2099" s="10" t="s">
        <v>1231</v>
      </c>
      <c r="D2099" s="10" t="s">
        <v>2087</v>
      </c>
      <c r="E2099" s="10" t="str">
        <f>"644020240515105751181139"</f>
        <v>644020240515105751181139</v>
      </c>
      <c r="F2099" s="9"/>
    </row>
    <row r="2100" s="2" customFormat="1" ht="30" customHeight="1" spans="1:6">
      <c r="A2100" s="9">
        <v>2097</v>
      </c>
      <c r="B2100" s="10" t="s">
        <v>1230</v>
      </c>
      <c r="C2100" s="10" t="s">
        <v>1231</v>
      </c>
      <c r="D2100" s="10" t="s">
        <v>2088</v>
      </c>
      <c r="E2100" s="10" t="str">
        <f>"644020240515110454181165"</f>
        <v>644020240515110454181165</v>
      </c>
      <c r="F2100" s="9"/>
    </row>
    <row r="2101" s="2" customFormat="1" ht="30" customHeight="1" spans="1:6">
      <c r="A2101" s="9">
        <v>2098</v>
      </c>
      <c r="B2101" s="10" t="s">
        <v>1230</v>
      </c>
      <c r="C2101" s="10" t="s">
        <v>1231</v>
      </c>
      <c r="D2101" s="10" t="s">
        <v>2089</v>
      </c>
      <c r="E2101" s="10" t="str">
        <f>"644020240515110857181177"</f>
        <v>644020240515110857181177</v>
      </c>
      <c r="F2101" s="9"/>
    </row>
    <row r="2102" s="2" customFormat="1" ht="30" customHeight="1" spans="1:6">
      <c r="A2102" s="9">
        <v>2099</v>
      </c>
      <c r="B2102" s="10" t="s">
        <v>1230</v>
      </c>
      <c r="C2102" s="10" t="s">
        <v>1231</v>
      </c>
      <c r="D2102" s="10" t="s">
        <v>2090</v>
      </c>
      <c r="E2102" s="10" t="str">
        <f>"644020240515103909181081"</f>
        <v>644020240515103909181081</v>
      </c>
      <c r="F2102" s="9"/>
    </row>
    <row r="2103" s="2" customFormat="1" ht="30" customHeight="1" spans="1:6">
      <c r="A2103" s="9">
        <v>2100</v>
      </c>
      <c r="B2103" s="10" t="s">
        <v>1230</v>
      </c>
      <c r="C2103" s="10" t="s">
        <v>1231</v>
      </c>
      <c r="D2103" s="10" t="s">
        <v>2091</v>
      </c>
      <c r="E2103" s="10" t="str">
        <f>"644020240515100932180974"</f>
        <v>644020240515100932180974</v>
      </c>
      <c r="F2103" s="9"/>
    </row>
    <row r="2104" s="2" customFormat="1" ht="30" customHeight="1" spans="1:6">
      <c r="A2104" s="9">
        <v>2101</v>
      </c>
      <c r="B2104" s="10" t="s">
        <v>1230</v>
      </c>
      <c r="C2104" s="10" t="s">
        <v>1231</v>
      </c>
      <c r="D2104" s="10" t="s">
        <v>2092</v>
      </c>
      <c r="E2104" s="10" t="str">
        <f>"644020240513180931176371"</f>
        <v>644020240513180931176371</v>
      </c>
      <c r="F2104" s="9"/>
    </row>
    <row r="2105" s="2" customFormat="1" ht="30" customHeight="1" spans="1:6">
      <c r="A2105" s="9">
        <v>2102</v>
      </c>
      <c r="B2105" s="10" t="s">
        <v>1230</v>
      </c>
      <c r="C2105" s="10" t="s">
        <v>1231</v>
      </c>
      <c r="D2105" s="10" t="s">
        <v>2093</v>
      </c>
      <c r="E2105" s="10" t="str">
        <f>"644020240515111349181192"</f>
        <v>644020240515111349181192</v>
      </c>
      <c r="F2105" s="9"/>
    </row>
    <row r="2106" s="2" customFormat="1" ht="30" customHeight="1" spans="1:6">
      <c r="A2106" s="9">
        <v>2103</v>
      </c>
      <c r="B2106" s="10" t="s">
        <v>1230</v>
      </c>
      <c r="C2106" s="10" t="s">
        <v>1231</v>
      </c>
      <c r="D2106" s="10" t="s">
        <v>2094</v>
      </c>
      <c r="E2106" s="10" t="str">
        <f>"644020240514175745179771"</f>
        <v>644020240514175745179771</v>
      </c>
      <c r="F2106" s="9"/>
    </row>
    <row r="2107" s="2" customFormat="1" ht="30" customHeight="1" spans="1:6">
      <c r="A2107" s="9">
        <v>2104</v>
      </c>
      <c r="B2107" s="10" t="s">
        <v>1230</v>
      </c>
      <c r="C2107" s="10" t="s">
        <v>1231</v>
      </c>
      <c r="D2107" s="10" t="s">
        <v>2095</v>
      </c>
      <c r="E2107" s="10" t="str">
        <f>"644020240513194117176658"</f>
        <v>644020240513194117176658</v>
      </c>
      <c r="F2107" s="9"/>
    </row>
    <row r="2108" s="2" customFormat="1" ht="30" customHeight="1" spans="1:6">
      <c r="A2108" s="9">
        <v>2105</v>
      </c>
      <c r="B2108" s="10" t="s">
        <v>1230</v>
      </c>
      <c r="C2108" s="10" t="s">
        <v>1231</v>
      </c>
      <c r="D2108" s="10" t="s">
        <v>2096</v>
      </c>
      <c r="E2108" s="10" t="str">
        <f>"644020240515113433181256"</f>
        <v>644020240515113433181256</v>
      </c>
      <c r="F2108" s="9"/>
    </row>
    <row r="2109" s="2" customFormat="1" ht="30" customHeight="1" spans="1:6">
      <c r="A2109" s="9">
        <v>2106</v>
      </c>
      <c r="B2109" s="10" t="s">
        <v>1230</v>
      </c>
      <c r="C2109" s="10" t="s">
        <v>1231</v>
      </c>
      <c r="D2109" s="10" t="s">
        <v>2097</v>
      </c>
      <c r="E2109" s="10" t="str">
        <f>"644020240515113821181269"</f>
        <v>644020240515113821181269</v>
      </c>
      <c r="F2109" s="9"/>
    </row>
    <row r="2110" s="2" customFormat="1" ht="30" customHeight="1" spans="1:6">
      <c r="A2110" s="9">
        <v>2107</v>
      </c>
      <c r="B2110" s="10" t="s">
        <v>1230</v>
      </c>
      <c r="C2110" s="10" t="s">
        <v>1231</v>
      </c>
      <c r="D2110" s="10" t="s">
        <v>2098</v>
      </c>
      <c r="E2110" s="10" t="str">
        <f>"644020240513105801173669"</f>
        <v>644020240513105801173669</v>
      </c>
      <c r="F2110" s="9"/>
    </row>
    <row r="2111" s="2" customFormat="1" ht="30" customHeight="1" spans="1:6">
      <c r="A2111" s="9">
        <v>2108</v>
      </c>
      <c r="B2111" s="10" t="s">
        <v>1230</v>
      </c>
      <c r="C2111" s="10" t="s">
        <v>1231</v>
      </c>
      <c r="D2111" s="10" t="s">
        <v>2099</v>
      </c>
      <c r="E2111" s="10" t="str">
        <f>"644020240515113033181246"</f>
        <v>644020240515113033181246</v>
      </c>
      <c r="F2111" s="9"/>
    </row>
    <row r="2112" s="2" customFormat="1" ht="30" customHeight="1" spans="1:6">
      <c r="A2112" s="9">
        <v>2109</v>
      </c>
      <c r="B2112" s="10" t="s">
        <v>1230</v>
      </c>
      <c r="C2112" s="10" t="s">
        <v>1231</v>
      </c>
      <c r="D2112" s="10" t="s">
        <v>2100</v>
      </c>
      <c r="E2112" s="10" t="str">
        <f>"644020240515113239181250"</f>
        <v>644020240515113239181250</v>
      </c>
      <c r="F2112" s="9"/>
    </row>
    <row r="2113" s="2" customFormat="1" ht="30" customHeight="1" spans="1:6">
      <c r="A2113" s="9">
        <v>2110</v>
      </c>
      <c r="B2113" s="10" t="s">
        <v>1230</v>
      </c>
      <c r="C2113" s="10" t="s">
        <v>1231</v>
      </c>
      <c r="D2113" s="10" t="s">
        <v>2101</v>
      </c>
      <c r="E2113" s="10" t="str">
        <f>"644020240515083734180717"</f>
        <v>644020240515083734180717</v>
      </c>
      <c r="F2113" s="9"/>
    </row>
    <row r="2114" s="2" customFormat="1" ht="30" customHeight="1" spans="1:6">
      <c r="A2114" s="9">
        <v>2111</v>
      </c>
      <c r="B2114" s="10" t="s">
        <v>1230</v>
      </c>
      <c r="C2114" s="10" t="s">
        <v>1231</v>
      </c>
      <c r="D2114" s="10" t="s">
        <v>2102</v>
      </c>
      <c r="E2114" s="10" t="str">
        <f>"644020240515095546180939"</f>
        <v>644020240515095546180939</v>
      </c>
      <c r="F2114" s="9"/>
    </row>
    <row r="2115" s="2" customFormat="1" ht="30" customHeight="1" spans="1:6">
      <c r="A2115" s="9">
        <v>2112</v>
      </c>
      <c r="B2115" s="10" t="s">
        <v>1230</v>
      </c>
      <c r="C2115" s="10" t="s">
        <v>1231</v>
      </c>
      <c r="D2115" s="10" t="s">
        <v>2103</v>
      </c>
      <c r="E2115" s="10" t="str">
        <f>"644020240515000627180574"</f>
        <v>644020240515000627180574</v>
      </c>
      <c r="F2115" s="9"/>
    </row>
    <row r="2116" s="2" customFormat="1" ht="30" customHeight="1" spans="1:6">
      <c r="A2116" s="9">
        <v>2113</v>
      </c>
      <c r="B2116" s="10" t="s">
        <v>1230</v>
      </c>
      <c r="C2116" s="10" t="s">
        <v>1231</v>
      </c>
      <c r="D2116" s="10" t="s">
        <v>2104</v>
      </c>
      <c r="E2116" s="10" t="str">
        <f>"644020240515114225181277"</f>
        <v>644020240515114225181277</v>
      </c>
      <c r="F2116" s="9"/>
    </row>
    <row r="2117" s="2" customFormat="1" ht="30" customHeight="1" spans="1:6">
      <c r="A2117" s="9">
        <v>2114</v>
      </c>
      <c r="B2117" s="10" t="s">
        <v>1230</v>
      </c>
      <c r="C2117" s="10" t="s">
        <v>1231</v>
      </c>
      <c r="D2117" s="10" t="s">
        <v>2105</v>
      </c>
      <c r="E2117" s="10" t="str">
        <f>"644020240514211434180156"</f>
        <v>644020240514211434180156</v>
      </c>
      <c r="F2117" s="9"/>
    </row>
    <row r="2118" s="2" customFormat="1" ht="30" customHeight="1" spans="1:6">
      <c r="A2118" s="9">
        <v>2115</v>
      </c>
      <c r="B2118" s="10" t="s">
        <v>1230</v>
      </c>
      <c r="C2118" s="10" t="s">
        <v>1231</v>
      </c>
      <c r="D2118" s="10" t="s">
        <v>2106</v>
      </c>
      <c r="E2118" s="10" t="str">
        <f>"644020240515115858181318"</f>
        <v>644020240515115858181318</v>
      </c>
      <c r="F2118" s="9"/>
    </row>
    <row r="2119" s="2" customFormat="1" ht="30" customHeight="1" spans="1:6">
      <c r="A2119" s="9">
        <v>2116</v>
      </c>
      <c r="B2119" s="10" t="s">
        <v>1230</v>
      </c>
      <c r="C2119" s="10" t="s">
        <v>1231</v>
      </c>
      <c r="D2119" s="10" t="s">
        <v>2107</v>
      </c>
      <c r="E2119" s="10" t="str">
        <f>"644020240515105835181140"</f>
        <v>644020240515105835181140</v>
      </c>
      <c r="F2119" s="9"/>
    </row>
    <row r="2120" s="2" customFormat="1" ht="30" customHeight="1" spans="1:6">
      <c r="A2120" s="9">
        <v>2117</v>
      </c>
      <c r="B2120" s="10" t="s">
        <v>1230</v>
      </c>
      <c r="C2120" s="10" t="s">
        <v>1231</v>
      </c>
      <c r="D2120" s="10" t="s">
        <v>2108</v>
      </c>
      <c r="E2120" s="10" t="str">
        <f>"644020240515115537181310"</f>
        <v>644020240515115537181310</v>
      </c>
      <c r="F2120" s="9"/>
    </row>
    <row r="2121" s="2" customFormat="1" ht="30" customHeight="1" spans="1:6">
      <c r="A2121" s="9">
        <v>2118</v>
      </c>
      <c r="B2121" s="10" t="s">
        <v>1230</v>
      </c>
      <c r="C2121" s="10" t="s">
        <v>1231</v>
      </c>
      <c r="D2121" s="10" t="s">
        <v>2109</v>
      </c>
      <c r="E2121" s="10" t="str">
        <f>"644020240514205138180079"</f>
        <v>644020240514205138180079</v>
      </c>
      <c r="F2121" s="9"/>
    </row>
    <row r="2122" s="2" customFormat="1" ht="30" customHeight="1" spans="1:6">
      <c r="A2122" s="9">
        <v>2119</v>
      </c>
      <c r="B2122" s="10" t="s">
        <v>1230</v>
      </c>
      <c r="C2122" s="10" t="s">
        <v>1231</v>
      </c>
      <c r="D2122" s="10" t="s">
        <v>1262</v>
      </c>
      <c r="E2122" s="10" t="str">
        <f>"644020240513000806171951"</f>
        <v>644020240513000806171951</v>
      </c>
      <c r="F2122" s="9"/>
    </row>
    <row r="2123" s="2" customFormat="1" ht="30" customHeight="1" spans="1:6">
      <c r="A2123" s="9">
        <v>2120</v>
      </c>
      <c r="B2123" s="10" t="s">
        <v>1230</v>
      </c>
      <c r="C2123" s="10" t="s">
        <v>1231</v>
      </c>
      <c r="D2123" s="10" t="s">
        <v>2110</v>
      </c>
      <c r="E2123" s="10" t="str">
        <f>"644020240515113738181264"</f>
        <v>644020240515113738181264</v>
      </c>
      <c r="F2123" s="9"/>
    </row>
    <row r="2124" s="2" customFormat="1" ht="30" customHeight="1" spans="1:6">
      <c r="A2124" s="9">
        <v>2121</v>
      </c>
      <c r="B2124" s="10" t="s">
        <v>1230</v>
      </c>
      <c r="C2124" s="10" t="s">
        <v>1231</v>
      </c>
      <c r="D2124" s="10" t="s">
        <v>2111</v>
      </c>
      <c r="E2124" s="10" t="str">
        <f>"644020240515111154181187"</f>
        <v>644020240515111154181187</v>
      </c>
      <c r="F2124" s="9"/>
    </row>
    <row r="2125" s="2" customFormat="1" ht="30" customHeight="1" spans="1:6">
      <c r="A2125" s="9">
        <v>2122</v>
      </c>
      <c r="B2125" s="10" t="s">
        <v>1230</v>
      </c>
      <c r="C2125" s="10" t="s">
        <v>1231</v>
      </c>
      <c r="D2125" s="10" t="s">
        <v>2112</v>
      </c>
      <c r="E2125" s="10" t="str">
        <f>"644020240515114456181282"</f>
        <v>644020240515114456181282</v>
      </c>
      <c r="F2125" s="9"/>
    </row>
    <row r="2126" s="2" customFormat="1" ht="30" customHeight="1" spans="1:6">
      <c r="A2126" s="9">
        <v>2123</v>
      </c>
      <c r="B2126" s="10" t="s">
        <v>1230</v>
      </c>
      <c r="C2126" s="10" t="s">
        <v>1231</v>
      </c>
      <c r="D2126" s="10" t="s">
        <v>2113</v>
      </c>
      <c r="E2126" s="10" t="str">
        <f>"644020240512143411169557"</f>
        <v>644020240512143411169557</v>
      </c>
      <c r="F2126" s="9"/>
    </row>
    <row r="2127" s="2" customFormat="1" ht="30" customHeight="1" spans="1:6">
      <c r="A2127" s="9">
        <v>2124</v>
      </c>
      <c r="B2127" s="10" t="s">
        <v>1230</v>
      </c>
      <c r="C2127" s="10" t="s">
        <v>1231</v>
      </c>
      <c r="D2127" s="10" t="s">
        <v>2114</v>
      </c>
      <c r="E2127" s="10" t="str">
        <f>"644020240513132245174627"</f>
        <v>644020240513132245174627</v>
      </c>
      <c r="F2127" s="9"/>
    </row>
    <row r="2128" s="2" customFormat="1" ht="30" customHeight="1" spans="1:6">
      <c r="A2128" s="9">
        <v>2125</v>
      </c>
      <c r="B2128" s="10" t="s">
        <v>1230</v>
      </c>
      <c r="C2128" s="10" t="s">
        <v>1231</v>
      </c>
      <c r="D2128" s="10" t="s">
        <v>2115</v>
      </c>
      <c r="E2128" s="10" t="str">
        <f>"644020240514150253179213"</f>
        <v>644020240514150253179213</v>
      </c>
      <c r="F2128" s="9"/>
    </row>
    <row r="2129" s="2" customFormat="1" ht="30" customHeight="1" spans="1:6">
      <c r="A2129" s="9">
        <v>2126</v>
      </c>
      <c r="B2129" s="10" t="s">
        <v>1230</v>
      </c>
      <c r="C2129" s="10" t="s">
        <v>1231</v>
      </c>
      <c r="D2129" s="10" t="s">
        <v>2116</v>
      </c>
      <c r="E2129" s="10" t="str">
        <f>"644020240515114541181287"</f>
        <v>644020240515114541181287</v>
      </c>
      <c r="F2129" s="9"/>
    </row>
    <row r="2130" s="2" customFormat="1" ht="30" customHeight="1" spans="1:6">
      <c r="A2130" s="9">
        <v>2127</v>
      </c>
      <c r="B2130" s="10" t="s">
        <v>1230</v>
      </c>
      <c r="C2130" s="10" t="s">
        <v>1231</v>
      </c>
      <c r="D2130" s="10" t="s">
        <v>2117</v>
      </c>
      <c r="E2130" s="10" t="str">
        <f>"644020240514125608178946"</f>
        <v>644020240514125608178946</v>
      </c>
      <c r="F2130" s="9"/>
    </row>
    <row r="2131" s="2" customFormat="1" ht="30" customHeight="1" spans="1:6">
      <c r="A2131" s="9">
        <v>2128</v>
      </c>
      <c r="B2131" s="10" t="s">
        <v>1230</v>
      </c>
      <c r="C2131" s="10" t="s">
        <v>1231</v>
      </c>
      <c r="D2131" s="10" t="s">
        <v>2118</v>
      </c>
      <c r="E2131" s="10" t="str">
        <f>"644020240515122140181361"</f>
        <v>644020240515122140181361</v>
      </c>
      <c r="F2131" s="9"/>
    </row>
    <row r="2132" s="2" customFormat="1" ht="30" customHeight="1" spans="1:6">
      <c r="A2132" s="9">
        <v>2129</v>
      </c>
      <c r="B2132" s="10" t="s">
        <v>1230</v>
      </c>
      <c r="C2132" s="10" t="s">
        <v>1231</v>
      </c>
      <c r="D2132" s="10" t="s">
        <v>2119</v>
      </c>
      <c r="E2132" s="10" t="str">
        <f>"644020240514173454179722"</f>
        <v>644020240514173454179722</v>
      </c>
      <c r="F2132" s="9"/>
    </row>
    <row r="2133" s="2" customFormat="1" ht="30" customHeight="1" spans="1:6">
      <c r="A2133" s="9">
        <v>2130</v>
      </c>
      <c r="B2133" s="10" t="s">
        <v>1230</v>
      </c>
      <c r="C2133" s="10" t="s">
        <v>1231</v>
      </c>
      <c r="D2133" s="10" t="s">
        <v>2120</v>
      </c>
      <c r="E2133" s="10" t="str">
        <f>"644020240515094230180890"</f>
        <v>644020240515094230180890</v>
      </c>
      <c r="F2133" s="9"/>
    </row>
    <row r="2134" s="2" customFormat="1" ht="30" customHeight="1" spans="1:6">
      <c r="A2134" s="9">
        <v>2131</v>
      </c>
      <c r="B2134" s="10" t="s">
        <v>1230</v>
      </c>
      <c r="C2134" s="10" t="s">
        <v>1231</v>
      </c>
      <c r="D2134" s="10" t="s">
        <v>2121</v>
      </c>
      <c r="E2134" s="10" t="str">
        <f>"644020240515130216181419"</f>
        <v>644020240515130216181419</v>
      </c>
      <c r="F2134" s="9"/>
    </row>
    <row r="2135" s="2" customFormat="1" ht="30" customHeight="1" spans="1:6">
      <c r="A2135" s="9">
        <v>2132</v>
      </c>
      <c r="B2135" s="10" t="s">
        <v>1230</v>
      </c>
      <c r="C2135" s="10" t="s">
        <v>1231</v>
      </c>
      <c r="D2135" s="10" t="s">
        <v>2122</v>
      </c>
      <c r="E2135" s="10" t="str">
        <f>"644020240515083335180703"</f>
        <v>644020240515083335180703</v>
      </c>
      <c r="F2135" s="9"/>
    </row>
    <row r="2136" s="2" customFormat="1" ht="30" customHeight="1" spans="1:6">
      <c r="A2136" s="9">
        <v>2133</v>
      </c>
      <c r="B2136" s="10" t="s">
        <v>1230</v>
      </c>
      <c r="C2136" s="10" t="s">
        <v>1231</v>
      </c>
      <c r="D2136" s="10" t="s">
        <v>2123</v>
      </c>
      <c r="E2136" s="10" t="str">
        <f>"644020240515130112181418"</f>
        <v>644020240515130112181418</v>
      </c>
      <c r="F2136" s="9"/>
    </row>
    <row r="2137" s="2" customFormat="1" ht="30" customHeight="1" spans="1:6">
      <c r="A2137" s="9">
        <v>2134</v>
      </c>
      <c r="B2137" s="10" t="s">
        <v>1230</v>
      </c>
      <c r="C2137" s="10" t="s">
        <v>1231</v>
      </c>
      <c r="D2137" s="10" t="s">
        <v>2124</v>
      </c>
      <c r="E2137" s="10" t="str">
        <f>"644020240513192530176598"</f>
        <v>644020240513192530176598</v>
      </c>
      <c r="F2137" s="9"/>
    </row>
    <row r="2138" s="2" customFormat="1" ht="30" customHeight="1" spans="1:6">
      <c r="A2138" s="9">
        <v>2135</v>
      </c>
      <c r="B2138" s="10" t="s">
        <v>1230</v>
      </c>
      <c r="C2138" s="10" t="s">
        <v>1231</v>
      </c>
      <c r="D2138" s="10" t="s">
        <v>2125</v>
      </c>
      <c r="E2138" s="10" t="str">
        <f>"644020240515125758181411"</f>
        <v>644020240515125758181411</v>
      </c>
      <c r="F2138" s="9"/>
    </row>
    <row r="2139" s="2" customFormat="1" ht="30" customHeight="1" spans="1:6">
      <c r="A2139" s="9">
        <v>2136</v>
      </c>
      <c r="B2139" s="10" t="s">
        <v>1230</v>
      </c>
      <c r="C2139" s="10" t="s">
        <v>1231</v>
      </c>
      <c r="D2139" s="10" t="s">
        <v>2126</v>
      </c>
      <c r="E2139" s="10" t="str">
        <f>"644020240515132011181452"</f>
        <v>644020240515132011181452</v>
      </c>
      <c r="F2139" s="9"/>
    </row>
    <row r="2140" s="2" customFormat="1" ht="30" customHeight="1" spans="1:6">
      <c r="A2140" s="9">
        <v>2137</v>
      </c>
      <c r="B2140" s="10" t="s">
        <v>1230</v>
      </c>
      <c r="C2140" s="10" t="s">
        <v>1231</v>
      </c>
      <c r="D2140" s="10" t="s">
        <v>1903</v>
      </c>
      <c r="E2140" s="10" t="str">
        <f>"644020240515131241181441"</f>
        <v>644020240515131241181441</v>
      </c>
      <c r="F2140" s="9"/>
    </row>
    <row r="2141" s="2" customFormat="1" ht="30" customHeight="1" spans="1:6">
      <c r="A2141" s="9">
        <v>2138</v>
      </c>
      <c r="B2141" s="10" t="s">
        <v>1230</v>
      </c>
      <c r="C2141" s="10" t="s">
        <v>1231</v>
      </c>
      <c r="D2141" s="10" t="s">
        <v>2127</v>
      </c>
      <c r="E2141" s="10" t="str">
        <f>"644020240515075335180658"</f>
        <v>644020240515075335180658</v>
      </c>
      <c r="F2141" s="9"/>
    </row>
    <row r="2142" s="2" customFormat="1" ht="30" customHeight="1" spans="1:6">
      <c r="A2142" s="9">
        <v>2139</v>
      </c>
      <c r="B2142" s="10" t="s">
        <v>1230</v>
      </c>
      <c r="C2142" s="10" t="s">
        <v>1231</v>
      </c>
      <c r="D2142" s="10" t="s">
        <v>2128</v>
      </c>
      <c r="E2142" s="10" t="str">
        <f>"644020240515124219181390"</f>
        <v>644020240515124219181390</v>
      </c>
      <c r="F2142" s="9"/>
    </row>
    <row r="2143" s="2" customFormat="1" ht="30" customHeight="1" spans="1:6">
      <c r="A2143" s="9">
        <v>2140</v>
      </c>
      <c r="B2143" s="10" t="s">
        <v>1230</v>
      </c>
      <c r="C2143" s="10" t="s">
        <v>1231</v>
      </c>
      <c r="D2143" s="10" t="s">
        <v>2129</v>
      </c>
      <c r="E2143" s="10" t="str">
        <f>"644020240515133717181475"</f>
        <v>644020240515133717181475</v>
      </c>
      <c r="F2143" s="9"/>
    </row>
    <row r="2144" s="2" customFormat="1" ht="30" customHeight="1" spans="1:6">
      <c r="A2144" s="9">
        <v>2141</v>
      </c>
      <c r="B2144" s="10" t="s">
        <v>1230</v>
      </c>
      <c r="C2144" s="10" t="s">
        <v>1231</v>
      </c>
      <c r="D2144" s="10" t="s">
        <v>2130</v>
      </c>
      <c r="E2144" s="10" t="str">
        <f>"644020240515131329181443"</f>
        <v>644020240515131329181443</v>
      </c>
      <c r="F2144" s="9"/>
    </row>
    <row r="2145" s="2" customFormat="1" ht="30" customHeight="1" spans="1:6">
      <c r="A2145" s="9">
        <v>2142</v>
      </c>
      <c r="B2145" s="10" t="s">
        <v>1230</v>
      </c>
      <c r="C2145" s="10" t="s">
        <v>1231</v>
      </c>
      <c r="D2145" s="10" t="s">
        <v>2131</v>
      </c>
      <c r="E2145" s="10" t="str">
        <f>"644020240515132306181456"</f>
        <v>644020240515132306181456</v>
      </c>
      <c r="F2145" s="9"/>
    </row>
    <row r="2146" s="2" customFormat="1" ht="30" customHeight="1" spans="1:6">
      <c r="A2146" s="9">
        <v>2143</v>
      </c>
      <c r="B2146" s="10" t="s">
        <v>1230</v>
      </c>
      <c r="C2146" s="10" t="s">
        <v>1231</v>
      </c>
      <c r="D2146" s="10" t="s">
        <v>2132</v>
      </c>
      <c r="E2146" s="10" t="str">
        <f>"644020240515132902181464"</f>
        <v>644020240515132902181464</v>
      </c>
      <c r="F2146" s="9"/>
    </row>
    <row r="2147" s="2" customFormat="1" ht="30" customHeight="1" spans="1:6">
      <c r="A2147" s="9">
        <v>2144</v>
      </c>
      <c r="B2147" s="10" t="s">
        <v>1230</v>
      </c>
      <c r="C2147" s="10" t="s">
        <v>1231</v>
      </c>
      <c r="D2147" s="10" t="s">
        <v>2133</v>
      </c>
      <c r="E2147" s="10" t="str">
        <f>"644020240515132811181462"</f>
        <v>644020240515132811181462</v>
      </c>
      <c r="F2147" s="9"/>
    </row>
    <row r="2148" s="2" customFormat="1" ht="30" customHeight="1" spans="1:6">
      <c r="A2148" s="9">
        <v>2145</v>
      </c>
      <c r="B2148" s="10" t="s">
        <v>1230</v>
      </c>
      <c r="C2148" s="10" t="s">
        <v>1231</v>
      </c>
      <c r="D2148" s="10" t="s">
        <v>2134</v>
      </c>
      <c r="E2148" s="10" t="str">
        <f>"644020240515131706181448"</f>
        <v>644020240515131706181448</v>
      </c>
      <c r="F2148" s="9"/>
    </row>
    <row r="2149" s="2" customFormat="1" ht="30" customHeight="1" spans="1:6">
      <c r="A2149" s="9">
        <v>2146</v>
      </c>
      <c r="B2149" s="10" t="s">
        <v>1230</v>
      </c>
      <c r="C2149" s="10" t="s">
        <v>1231</v>
      </c>
      <c r="D2149" s="10" t="s">
        <v>2135</v>
      </c>
      <c r="E2149" s="10" t="str">
        <f>"644020240515121700181351"</f>
        <v>644020240515121700181351</v>
      </c>
      <c r="F2149" s="9"/>
    </row>
    <row r="2150" s="2" customFormat="1" ht="30" customHeight="1" spans="1:6">
      <c r="A2150" s="9">
        <v>2147</v>
      </c>
      <c r="B2150" s="10" t="s">
        <v>1230</v>
      </c>
      <c r="C2150" s="10" t="s">
        <v>1231</v>
      </c>
      <c r="D2150" s="10" t="s">
        <v>2136</v>
      </c>
      <c r="E2150" s="10" t="str">
        <f>"644020240514155915179396"</f>
        <v>644020240514155915179396</v>
      </c>
      <c r="F2150" s="9"/>
    </row>
    <row r="2151" s="2" customFormat="1" ht="30" customHeight="1" spans="1:6">
      <c r="A2151" s="9">
        <v>2148</v>
      </c>
      <c r="B2151" s="10" t="s">
        <v>1230</v>
      </c>
      <c r="C2151" s="10" t="s">
        <v>1231</v>
      </c>
      <c r="D2151" s="10" t="s">
        <v>2137</v>
      </c>
      <c r="E2151" s="10" t="str">
        <f>"644020240515135241181507"</f>
        <v>644020240515135241181507</v>
      </c>
      <c r="F2151" s="9"/>
    </row>
    <row r="2152" s="2" customFormat="1" ht="30" customHeight="1" spans="1:6">
      <c r="A2152" s="9">
        <v>2149</v>
      </c>
      <c r="B2152" s="10" t="s">
        <v>1230</v>
      </c>
      <c r="C2152" s="10" t="s">
        <v>1231</v>
      </c>
      <c r="D2152" s="10" t="s">
        <v>2138</v>
      </c>
      <c r="E2152" s="10" t="str">
        <f>"644020240515135417181512"</f>
        <v>644020240515135417181512</v>
      </c>
      <c r="F2152" s="9"/>
    </row>
    <row r="2153" s="2" customFormat="1" ht="30" customHeight="1" spans="1:6">
      <c r="A2153" s="9">
        <v>2150</v>
      </c>
      <c r="B2153" s="10" t="s">
        <v>1230</v>
      </c>
      <c r="C2153" s="10" t="s">
        <v>1231</v>
      </c>
      <c r="D2153" s="10" t="s">
        <v>2139</v>
      </c>
      <c r="E2153" s="10" t="str">
        <f>"644020240514140051179076"</f>
        <v>644020240514140051179076</v>
      </c>
      <c r="F2153" s="9"/>
    </row>
    <row r="2154" s="2" customFormat="1" ht="30" customHeight="1" spans="1:6">
      <c r="A2154" s="9">
        <v>2151</v>
      </c>
      <c r="B2154" s="10" t="s">
        <v>1230</v>
      </c>
      <c r="C2154" s="10" t="s">
        <v>1231</v>
      </c>
      <c r="D2154" s="10" t="s">
        <v>2140</v>
      </c>
      <c r="E2154" s="10" t="str">
        <f>"644020240514165117179574"</f>
        <v>644020240514165117179574</v>
      </c>
      <c r="F2154" s="9"/>
    </row>
    <row r="2155" s="2" customFormat="1" ht="30" customHeight="1" spans="1:6">
      <c r="A2155" s="9">
        <v>2152</v>
      </c>
      <c r="B2155" s="10" t="s">
        <v>1230</v>
      </c>
      <c r="C2155" s="10" t="s">
        <v>1231</v>
      </c>
      <c r="D2155" s="10" t="s">
        <v>2141</v>
      </c>
      <c r="E2155" s="10" t="str">
        <f>"644020240515100423180955"</f>
        <v>644020240515100423180955</v>
      </c>
      <c r="F2155" s="9"/>
    </row>
    <row r="2156" s="2" customFormat="1" ht="30" customHeight="1" spans="1:6">
      <c r="A2156" s="9">
        <v>2153</v>
      </c>
      <c r="B2156" s="10" t="s">
        <v>1230</v>
      </c>
      <c r="C2156" s="10" t="s">
        <v>1231</v>
      </c>
      <c r="D2156" s="10" t="s">
        <v>2142</v>
      </c>
      <c r="E2156" s="10" t="str">
        <f>"644020240515100920180972"</f>
        <v>644020240515100920180972</v>
      </c>
      <c r="F2156" s="9"/>
    </row>
    <row r="2157" s="2" customFormat="1" ht="30" customHeight="1" spans="1:6">
      <c r="A2157" s="9">
        <v>2154</v>
      </c>
      <c r="B2157" s="10" t="s">
        <v>1230</v>
      </c>
      <c r="C2157" s="10" t="s">
        <v>1231</v>
      </c>
      <c r="D2157" s="10" t="s">
        <v>2143</v>
      </c>
      <c r="E2157" s="10" t="str">
        <f>"644020240515143056181565"</f>
        <v>644020240515143056181565</v>
      </c>
      <c r="F2157" s="9"/>
    </row>
    <row r="2158" s="2" customFormat="1" ht="30" customHeight="1" spans="1:6">
      <c r="A2158" s="9">
        <v>2155</v>
      </c>
      <c r="B2158" s="10" t="s">
        <v>1230</v>
      </c>
      <c r="C2158" s="10" t="s">
        <v>1231</v>
      </c>
      <c r="D2158" s="10" t="s">
        <v>626</v>
      </c>
      <c r="E2158" s="10" t="str">
        <f>"644020240515132216181455"</f>
        <v>644020240515132216181455</v>
      </c>
      <c r="F2158" s="9"/>
    </row>
    <row r="2159" s="2" customFormat="1" ht="30" customHeight="1" spans="1:6">
      <c r="A2159" s="9">
        <v>2156</v>
      </c>
      <c r="B2159" s="10" t="s">
        <v>1230</v>
      </c>
      <c r="C2159" s="10" t="s">
        <v>1231</v>
      </c>
      <c r="D2159" s="10" t="s">
        <v>2144</v>
      </c>
      <c r="E2159" s="10" t="str">
        <f>"644020240514113855178758"</f>
        <v>644020240514113855178758</v>
      </c>
      <c r="F2159" s="9"/>
    </row>
    <row r="2160" s="2" customFormat="1" ht="30" customHeight="1" spans="1:6">
      <c r="A2160" s="9">
        <v>2157</v>
      </c>
      <c r="B2160" s="10" t="s">
        <v>1230</v>
      </c>
      <c r="C2160" s="10" t="s">
        <v>1231</v>
      </c>
      <c r="D2160" s="10" t="s">
        <v>2145</v>
      </c>
      <c r="E2160" s="10" t="str">
        <f>"644020240514121215178851"</f>
        <v>644020240514121215178851</v>
      </c>
      <c r="F2160" s="9"/>
    </row>
    <row r="2161" s="2" customFormat="1" ht="30" customHeight="1" spans="1:6">
      <c r="A2161" s="9">
        <v>2158</v>
      </c>
      <c r="B2161" s="10" t="s">
        <v>1230</v>
      </c>
      <c r="C2161" s="10" t="s">
        <v>1231</v>
      </c>
      <c r="D2161" s="10" t="s">
        <v>2146</v>
      </c>
      <c r="E2161" s="10" t="str">
        <f>"644020240513101533173262"</f>
        <v>644020240513101533173262</v>
      </c>
      <c r="F2161" s="9"/>
    </row>
    <row r="2162" s="2" customFormat="1" ht="30" customHeight="1" spans="1:6">
      <c r="A2162" s="9">
        <v>2159</v>
      </c>
      <c r="B2162" s="10" t="s">
        <v>1230</v>
      </c>
      <c r="C2162" s="10" t="s">
        <v>1231</v>
      </c>
      <c r="D2162" s="10" t="s">
        <v>2147</v>
      </c>
      <c r="E2162" s="10" t="str">
        <f>"644020240515135714181513"</f>
        <v>644020240515135714181513</v>
      </c>
      <c r="F2162" s="9"/>
    </row>
    <row r="2163" s="2" customFormat="1" ht="30" customHeight="1" spans="1:6">
      <c r="A2163" s="9">
        <v>2160</v>
      </c>
      <c r="B2163" s="10" t="s">
        <v>1230</v>
      </c>
      <c r="C2163" s="10" t="s">
        <v>1231</v>
      </c>
      <c r="D2163" s="10" t="s">
        <v>2148</v>
      </c>
      <c r="E2163" s="10" t="str">
        <f>"644020240512170650170130"</f>
        <v>644020240512170650170130</v>
      </c>
      <c r="F2163" s="9"/>
    </row>
    <row r="2164" s="2" customFormat="1" ht="30" customHeight="1" spans="1:6">
      <c r="A2164" s="9">
        <v>2161</v>
      </c>
      <c r="B2164" s="10" t="s">
        <v>1230</v>
      </c>
      <c r="C2164" s="10" t="s">
        <v>1231</v>
      </c>
      <c r="D2164" s="10" t="s">
        <v>2149</v>
      </c>
      <c r="E2164" s="10" t="str">
        <f>"644020240515083627180711"</f>
        <v>644020240515083627180711</v>
      </c>
      <c r="F2164" s="9"/>
    </row>
    <row r="2165" s="2" customFormat="1" ht="30" customHeight="1" spans="1:6">
      <c r="A2165" s="9">
        <v>2162</v>
      </c>
      <c r="B2165" s="10" t="s">
        <v>1230</v>
      </c>
      <c r="C2165" s="10" t="s">
        <v>1231</v>
      </c>
      <c r="D2165" s="10" t="s">
        <v>2150</v>
      </c>
      <c r="E2165" s="10" t="str">
        <f>"644020240515111735181205"</f>
        <v>644020240515111735181205</v>
      </c>
      <c r="F2165" s="9"/>
    </row>
    <row r="2166" s="2" customFormat="1" ht="30" customHeight="1" spans="1:6">
      <c r="A2166" s="9">
        <v>2163</v>
      </c>
      <c r="B2166" s="10" t="s">
        <v>1230</v>
      </c>
      <c r="C2166" s="10" t="s">
        <v>1231</v>
      </c>
      <c r="D2166" s="10" t="s">
        <v>2151</v>
      </c>
      <c r="E2166" s="10" t="str">
        <f>"644020240513113040173965"</f>
        <v>644020240513113040173965</v>
      </c>
      <c r="F2166" s="9"/>
    </row>
    <row r="2167" s="2" customFormat="1" ht="30" customHeight="1" spans="1:6">
      <c r="A2167" s="9">
        <v>2164</v>
      </c>
      <c r="B2167" s="10" t="s">
        <v>1230</v>
      </c>
      <c r="C2167" s="10" t="s">
        <v>1231</v>
      </c>
      <c r="D2167" s="10" t="s">
        <v>2152</v>
      </c>
      <c r="E2167" s="10" t="str">
        <f>"644020240515101850181001"</f>
        <v>644020240515101850181001</v>
      </c>
      <c r="F2167" s="9"/>
    </row>
    <row r="2168" s="2" customFormat="1" ht="30" customHeight="1" spans="1:6">
      <c r="A2168" s="9">
        <v>2165</v>
      </c>
      <c r="B2168" s="10" t="s">
        <v>1230</v>
      </c>
      <c r="C2168" s="10" t="s">
        <v>1231</v>
      </c>
      <c r="D2168" s="10" t="s">
        <v>2153</v>
      </c>
      <c r="E2168" s="10" t="str">
        <f>"644020240512192254170575"</f>
        <v>644020240512192254170575</v>
      </c>
      <c r="F2168" s="9"/>
    </row>
    <row r="2169" s="2" customFormat="1" ht="30" customHeight="1" spans="1:6">
      <c r="A2169" s="9">
        <v>2166</v>
      </c>
      <c r="B2169" s="10" t="s">
        <v>1230</v>
      </c>
      <c r="C2169" s="10" t="s">
        <v>1231</v>
      </c>
      <c r="D2169" s="10" t="s">
        <v>2154</v>
      </c>
      <c r="E2169" s="10" t="str">
        <f>"644020240514150708179226"</f>
        <v>644020240514150708179226</v>
      </c>
      <c r="F2169" s="9"/>
    </row>
    <row r="2170" s="2" customFormat="1" ht="30" customHeight="1" spans="1:6">
      <c r="A2170" s="9">
        <v>2167</v>
      </c>
      <c r="B2170" s="10" t="s">
        <v>1230</v>
      </c>
      <c r="C2170" s="10" t="s">
        <v>1231</v>
      </c>
      <c r="D2170" s="10" t="s">
        <v>2155</v>
      </c>
      <c r="E2170" s="10" t="str">
        <f>"644020240515151400181647"</f>
        <v>644020240515151400181647</v>
      </c>
      <c r="F2170" s="9"/>
    </row>
    <row r="2171" s="2" customFormat="1" ht="30" customHeight="1" spans="1:6">
      <c r="A2171" s="9">
        <v>2168</v>
      </c>
      <c r="B2171" s="10" t="s">
        <v>1230</v>
      </c>
      <c r="C2171" s="10" t="s">
        <v>1231</v>
      </c>
      <c r="D2171" s="10" t="s">
        <v>2156</v>
      </c>
      <c r="E2171" s="10" t="str">
        <f>"644020240515150310181624"</f>
        <v>644020240515150310181624</v>
      </c>
      <c r="F2171" s="9"/>
    </row>
    <row r="2172" s="2" customFormat="1" ht="30" customHeight="1" spans="1:6">
      <c r="A2172" s="9">
        <v>2169</v>
      </c>
      <c r="B2172" s="10" t="s">
        <v>1230</v>
      </c>
      <c r="C2172" s="10" t="s">
        <v>1231</v>
      </c>
      <c r="D2172" s="10" t="s">
        <v>2157</v>
      </c>
      <c r="E2172" s="10" t="str">
        <f>"644020240515142355181550"</f>
        <v>644020240515142355181550</v>
      </c>
      <c r="F2172" s="9"/>
    </row>
    <row r="2173" s="2" customFormat="1" ht="30" customHeight="1" spans="1:6">
      <c r="A2173" s="9">
        <v>2170</v>
      </c>
      <c r="B2173" s="10" t="s">
        <v>1230</v>
      </c>
      <c r="C2173" s="10" t="s">
        <v>1231</v>
      </c>
      <c r="D2173" s="10" t="s">
        <v>2158</v>
      </c>
      <c r="E2173" s="10" t="str">
        <f>"644020240515153433181709"</f>
        <v>644020240515153433181709</v>
      </c>
      <c r="F2173" s="9"/>
    </row>
    <row r="2174" s="2" customFormat="1" ht="30" customHeight="1" spans="1:6">
      <c r="A2174" s="9">
        <v>2171</v>
      </c>
      <c r="B2174" s="10" t="s">
        <v>1230</v>
      </c>
      <c r="C2174" s="10" t="s">
        <v>1231</v>
      </c>
      <c r="D2174" s="10" t="s">
        <v>2159</v>
      </c>
      <c r="E2174" s="10" t="str">
        <f>"644020240515151722181658"</f>
        <v>644020240515151722181658</v>
      </c>
      <c r="F2174" s="9"/>
    </row>
    <row r="2175" s="2" customFormat="1" ht="30" customHeight="1" spans="1:6">
      <c r="A2175" s="9">
        <v>2172</v>
      </c>
      <c r="B2175" s="10" t="s">
        <v>1230</v>
      </c>
      <c r="C2175" s="10" t="s">
        <v>1231</v>
      </c>
      <c r="D2175" s="10" t="s">
        <v>2160</v>
      </c>
      <c r="E2175" s="10" t="str">
        <f>"644020240515144745181594"</f>
        <v>644020240515144745181594</v>
      </c>
      <c r="F2175" s="9"/>
    </row>
    <row r="2176" s="2" customFormat="1" ht="30" customHeight="1" spans="1:6">
      <c r="A2176" s="9">
        <v>2173</v>
      </c>
      <c r="B2176" s="10" t="s">
        <v>1230</v>
      </c>
      <c r="C2176" s="10" t="s">
        <v>1231</v>
      </c>
      <c r="D2176" s="10" t="s">
        <v>2161</v>
      </c>
      <c r="E2176" s="10" t="str">
        <f>"644020240515153351181706"</f>
        <v>644020240515153351181706</v>
      </c>
      <c r="F2176" s="9"/>
    </row>
    <row r="2177" s="2" customFormat="1" ht="30" customHeight="1" spans="1:6">
      <c r="A2177" s="9">
        <v>2174</v>
      </c>
      <c r="B2177" s="10" t="s">
        <v>1230</v>
      </c>
      <c r="C2177" s="10" t="s">
        <v>1231</v>
      </c>
      <c r="D2177" s="10" t="s">
        <v>2162</v>
      </c>
      <c r="E2177" s="10" t="str">
        <f>"644020240515153957181721"</f>
        <v>644020240515153957181721</v>
      </c>
      <c r="F2177" s="9"/>
    </row>
    <row r="2178" s="2" customFormat="1" ht="30" customHeight="1" spans="1:6">
      <c r="A2178" s="9">
        <v>2175</v>
      </c>
      <c r="B2178" s="10" t="s">
        <v>1230</v>
      </c>
      <c r="C2178" s="10" t="s">
        <v>1231</v>
      </c>
      <c r="D2178" s="10" t="s">
        <v>2163</v>
      </c>
      <c r="E2178" s="10" t="str">
        <f>"644020240515102601181035"</f>
        <v>644020240515102601181035</v>
      </c>
      <c r="F2178" s="9"/>
    </row>
    <row r="2179" s="2" customFormat="1" ht="30" customHeight="1" spans="1:6">
      <c r="A2179" s="9">
        <v>2176</v>
      </c>
      <c r="B2179" s="10" t="s">
        <v>1230</v>
      </c>
      <c r="C2179" s="10" t="s">
        <v>1231</v>
      </c>
      <c r="D2179" s="10" t="s">
        <v>2164</v>
      </c>
      <c r="E2179" s="10" t="str">
        <f>"644020240515153700181714"</f>
        <v>644020240515153700181714</v>
      </c>
      <c r="F2179" s="9"/>
    </row>
    <row r="2180" s="2" customFormat="1" ht="30" customHeight="1" spans="1:6">
      <c r="A2180" s="9">
        <v>2177</v>
      </c>
      <c r="B2180" s="10" t="s">
        <v>1230</v>
      </c>
      <c r="C2180" s="10" t="s">
        <v>1231</v>
      </c>
      <c r="D2180" s="10" t="s">
        <v>2165</v>
      </c>
      <c r="E2180" s="10" t="str">
        <f>"644020240515134739181497"</f>
        <v>644020240515134739181497</v>
      </c>
      <c r="F2180" s="9"/>
    </row>
    <row r="2181" s="2" customFormat="1" ht="30" customHeight="1" spans="1:6">
      <c r="A2181" s="9">
        <v>2178</v>
      </c>
      <c r="B2181" s="10" t="s">
        <v>1230</v>
      </c>
      <c r="C2181" s="10" t="s">
        <v>1231</v>
      </c>
      <c r="D2181" s="10" t="s">
        <v>2166</v>
      </c>
      <c r="E2181" s="10" t="str">
        <f>"644020240514122037178879"</f>
        <v>644020240514122037178879</v>
      </c>
      <c r="F2181" s="9"/>
    </row>
    <row r="2182" s="2" customFormat="1" ht="30" customHeight="1" spans="1:6">
      <c r="A2182" s="9">
        <v>2179</v>
      </c>
      <c r="B2182" s="10" t="s">
        <v>1230</v>
      </c>
      <c r="C2182" s="10" t="s">
        <v>1231</v>
      </c>
      <c r="D2182" s="10" t="s">
        <v>2167</v>
      </c>
      <c r="E2182" s="10" t="str">
        <f>"644020240515095941180945"</f>
        <v>644020240515095941180945</v>
      </c>
      <c r="F2182" s="9"/>
    </row>
    <row r="2183" s="2" customFormat="1" ht="30" customHeight="1" spans="1:6">
      <c r="A2183" s="9">
        <v>2180</v>
      </c>
      <c r="B2183" s="10" t="s">
        <v>1230</v>
      </c>
      <c r="C2183" s="10" t="s">
        <v>1231</v>
      </c>
      <c r="D2183" s="10" t="s">
        <v>2168</v>
      </c>
      <c r="E2183" s="10" t="str">
        <f>"644020240515153133181701"</f>
        <v>644020240515153133181701</v>
      </c>
      <c r="F2183" s="9"/>
    </row>
    <row r="2184" s="2" customFormat="1" ht="30" customHeight="1" spans="1:6">
      <c r="A2184" s="9">
        <v>2181</v>
      </c>
      <c r="B2184" s="10" t="s">
        <v>1230</v>
      </c>
      <c r="C2184" s="10" t="s">
        <v>1231</v>
      </c>
      <c r="D2184" s="10" t="s">
        <v>2169</v>
      </c>
      <c r="E2184" s="10" t="str">
        <f>"644020240513161009175845"</f>
        <v>644020240513161009175845</v>
      </c>
      <c r="F2184" s="9"/>
    </row>
    <row r="2185" s="2" customFormat="1" ht="30" customHeight="1" spans="1:6">
      <c r="A2185" s="9">
        <v>2182</v>
      </c>
      <c r="B2185" s="10" t="s">
        <v>1230</v>
      </c>
      <c r="C2185" s="10" t="s">
        <v>1231</v>
      </c>
      <c r="D2185" s="10" t="s">
        <v>2170</v>
      </c>
      <c r="E2185" s="10" t="str">
        <f>"644020240515164107181899"</f>
        <v>644020240515164107181899</v>
      </c>
      <c r="F2185" s="9"/>
    </row>
    <row r="2186" s="2" customFormat="1" ht="30" customHeight="1" spans="1:6">
      <c r="A2186" s="9">
        <v>2183</v>
      </c>
      <c r="B2186" s="10" t="s">
        <v>1230</v>
      </c>
      <c r="C2186" s="10" t="s">
        <v>1231</v>
      </c>
      <c r="D2186" s="10" t="s">
        <v>2171</v>
      </c>
      <c r="E2186" s="10" t="str">
        <f>"644020240515154354181731"</f>
        <v>644020240515154354181731</v>
      </c>
      <c r="F2186" s="9"/>
    </row>
    <row r="2187" s="2" customFormat="1" ht="30" customHeight="1" spans="1:6">
      <c r="A2187" s="9">
        <v>2184</v>
      </c>
      <c r="B2187" s="10" t="s">
        <v>1230</v>
      </c>
      <c r="C2187" s="10" t="s">
        <v>1231</v>
      </c>
      <c r="D2187" s="10" t="s">
        <v>2172</v>
      </c>
      <c r="E2187" s="10" t="str">
        <f>"644020240514114631178787"</f>
        <v>644020240514114631178787</v>
      </c>
      <c r="F2187" s="9"/>
    </row>
    <row r="2188" s="2" customFormat="1" ht="30" customHeight="1" spans="1:6">
      <c r="A2188" s="9">
        <v>2185</v>
      </c>
      <c r="B2188" s="10" t="s">
        <v>1230</v>
      </c>
      <c r="C2188" s="10" t="s">
        <v>1231</v>
      </c>
      <c r="D2188" s="10" t="s">
        <v>2173</v>
      </c>
      <c r="E2188" s="10" t="str">
        <f>"644020240513151815175354"</f>
        <v>644020240513151815175354</v>
      </c>
      <c r="F2188" s="9"/>
    </row>
    <row r="2189" s="2" customFormat="1" ht="30" customHeight="1" spans="1:6">
      <c r="A2189" s="9">
        <v>2186</v>
      </c>
      <c r="B2189" s="10" t="s">
        <v>1230</v>
      </c>
      <c r="C2189" s="10" t="s">
        <v>1231</v>
      </c>
      <c r="D2189" s="10" t="s">
        <v>2174</v>
      </c>
      <c r="E2189" s="10" t="str">
        <f>"644020240514103258178448"</f>
        <v>644020240514103258178448</v>
      </c>
      <c r="F2189" s="9"/>
    </row>
    <row r="2190" s="2" customFormat="1" ht="30" customHeight="1" spans="1:6">
      <c r="A2190" s="9">
        <v>2187</v>
      </c>
      <c r="B2190" s="10" t="s">
        <v>1230</v>
      </c>
      <c r="C2190" s="10" t="s">
        <v>1231</v>
      </c>
      <c r="D2190" s="10" t="s">
        <v>2175</v>
      </c>
      <c r="E2190" s="10" t="str">
        <f>"644020240515163747181881"</f>
        <v>644020240515163747181881</v>
      </c>
      <c r="F2190" s="9"/>
    </row>
    <row r="2191" s="2" customFormat="1" ht="30" customHeight="1" spans="1:6">
      <c r="A2191" s="9">
        <v>2188</v>
      </c>
      <c r="B2191" s="10" t="s">
        <v>1230</v>
      </c>
      <c r="C2191" s="10" t="s">
        <v>1231</v>
      </c>
      <c r="D2191" s="10" t="s">
        <v>2176</v>
      </c>
      <c r="E2191" s="10" t="str">
        <f>"644020240515161502181820"</f>
        <v>644020240515161502181820</v>
      </c>
      <c r="F2191" s="9"/>
    </row>
    <row r="2192" s="2" customFormat="1" ht="30" customHeight="1" spans="1:6">
      <c r="A2192" s="9">
        <v>2189</v>
      </c>
      <c r="B2192" s="10" t="s">
        <v>1230</v>
      </c>
      <c r="C2192" s="10" t="s">
        <v>1231</v>
      </c>
      <c r="D2192" s="10" t="s">
        <v>2177</v>
      </c>
      <c r="E2192" s="10" t="str">
        <f>"644020240515164352181910"</f>
        <v>644020240515164352181910</v>
      </c>
      <c r="F2192" s="9"/>
    </row>
    <row r="2193" s="2" customFormat="1" ht="30" customHeight="1" spans="1:6">
      <c r="A2193" s="9">
        <v>2190</v>
      </c>
      <c r="B2193" s="10" t="s">
        <v>1230</v>
      </c>
      <c r="C2193" s="10" t="s">
        <v>1231</v>
      </c>
      <c r="D2193" s="10" t="s">
        <v>2178</v>
      </c>
      <c r="E2193" s="10" t="str">
        <f>"644020240514172239179690"</f>
        <v>644020240514172239179690</v>
      </c>
      <c r="F2193" s="9"/>
    </row>
    <row r="2194" s="2" customFormat="1" ht="30" customHeight="1" spans="1:6">
      <c r="A2194" s="9">
        <v>2191</v>
      </c>
      <c r="B2194" s="10" t="s">
        <v>1230</v>
      </c>
      <c r="C2194" s="10" t="s">
        <v>1231</v>
      </c>
      <c r="D2194" s="10" t="s">
        <v>2179</v>
      </c>
      <c r="E2194" s="10" t="str">
        <f>"644020240515171411181982"</f>
        <v>644020240515171411181982</v>
      </c>
      <c r="F2194" s="9"/>
    </row>
    <row r="2195" s="2" customFormat="1" ht="30" customHeight="1" spans="1:6">
      <c r="A2195" s="9">
        <v>2192</v>
      </c>
      <c r="B2195" s="10" t="s">
        <v>1230</v>
      </c>
      <c r="C2195" s="10" t="s">
        <v>1231</v>
      </c>
      <c r="D2195" s="10" t="s">
        <v>2180</v>
      </c>
      <c r="E2195" s="10" t="str">
        <f>"644020240515172123181994"</f>
        <v>644020240515172123181994</v>
      </c>
      <c r="F2195" s="9"/>
    </row>
    <row r="2196" s="2" customFormat="1" ht="30" customHeight="1" spans="1:6">
      <c r="A2196" s="9">
        <v>2193</v>
      </c>
      <c r="B2196" s="10" t="s">
        <v>1230</v>
      </c>
      <c r="C2196" s="10" t="s">
        <v>1231</v>
      </c>
      <c r="D2196" s="10" t="s">
        <v>2181</v>
      </c>
      <c r="E2196" s="10" t="str">
        <f>"644020240515165724181946"</f>
        <v>644020240515165724181946</v>
      </c>
      <c r="F2196" s="9"/>
    </row>
    <row r="2197" s="2" customFormat="1" ht="30" customHeight="1" spans="1:6">
      <c r="A2197" s="9">
        <v>2194</v>
      </c>
      <c r="B2197" s="10" t="s">
        <v>1230</v>
      </c>
      <c r="C2197" s="10" t="s">
        <v>1231</v>
      </c>
      <c r="D2197" s="10" t="s">
        <v>2182</v>
      </c>
      <c r="E2197" s="10" t="str">
        <f>"644020240515171424181983"</f>
        <v>644020240515171424181983</v>
      </c>
      <c r="F2197" s="9"/>
    </row>
    <row r="2198" s="2" customFormat="1" ht="30" customHeight="1" spans="1:6">
      <c r="A2198" s="9">
        <v>2195</v>
      </c>
      <c r="B2198" s="10" t="s">
        <v>1230</v>
      </c>
      <c r="C2198" s="10" t="s">
        <v>1231</v>
      </c>
      <c r="D2198" s="10" t="s">
        <v>2183</v>
      </c>
      <c r="E2198" s="10" t="str">
        <f>"644020240515090103180762"</f>
        <v>644020240515090103180762</v>
      </c>
      <c r="F2198" s="9"/>
    </row>
    <row r="2199" s="2" customFormat="1" ht="30" customHeight="1" spans="1:6">
      <c r="A2199" s="9">
        <v>2196</v>
      </c>
      <c r="B2199" s="10" t="s">
        <v>1230</v>
      </c>
      <c r="C2199" s="10" t="s">
        <v>1231</v>
      </c>
      <c r="D2199" s="10" t="s">
        <v>2184</v>
      </c>
      <c r="E2199" s="10" t="str">
        <f>"644020240515170859181973"</f>
        <v>644020240515170859181973</v>
      </c>
      <c r="F2199" s="9"/>
    </row>
    <row r="2200" s="2" customFormat="1" ht="30" customHeight="1" spans="1:6">
      <c r="A2200" s="9">
        <v>2197</v>
      </c>
      <c r="B2200" s="10" t="s">
        <v>1230</v>
      </c>
      <c r="C2200" s="10" t="s">
        <v>1231</v>
      </c>
      <c r="D2200" s="10" t="s">
        <v>2185</v>
      </c>
      <c r="E2200" s="10" t="str">
        <f>"644020240515133526181473"</f>
        <v>644020240515133526181473</v>
      </c>
      <c r="F2200" s="9"/>
    </row>
    <row r="2201" s="2" customFormat="1" ht="30" customHeight="1" spans="1:6">
      <c r="A2201" s="9">
        <v>2198</v>
      </c>
      <c r="B2201" s="10" t="s">
        <v>1230</v>
      </c>
      <c r="C2201" s="10" t="s">
        <v>1231</v>
      </c>
      <c r="D2201" s="10" t="s">
        <v>2186</v>
      </c>
      <c r="E2201" s="10" t="str">
        <f>"644020240515173538182014"</f>
        <v>644020240515173538182014</v>
      </c>
      <c r="F2201" s="9"/>
    </row>
    <row r="2202" s="2" customFormat="1" ht="30" customHeight="1" spans="1:6">
      <c r="A2202" s="9">
        <v>2199</v>
      </c>
      <c r="B2202" s="10" t="s">
        <v>1230</v>
      </c>
      <c r="C2202" s="10" t="s">
        <v>1231</v>
      </c>
      <c r="D2202" s="10" t="s">
        <v>2187</v>
      </c>
      <c r="E2202" s="10" t="str">
        <f>"644020240515174125182021"</f>
        <v>644020240515174125182021</v>
      </c>
      <c r="F2202" s="9"/>
    </row>
    <row r="2203" s="2" customFormat="1" ht="30" customHeight="1" spans="1:6">
      <c r="A2203" s="9">
        <v>2200</v>
      </c>
      <c r="B2203" s="10" t="s">
        <v>1230</v>
      </c>
      <c r="C2203" s="10" t="s">
        <v>1231</v>
      </c>
      <c r="D2203" s="10" t="s">
        <v>2188</v>
      </c>
      <c r="E2203" s="10" t="str">
        <f>"644020240515173955182018"</f>
        <v>644020240515173955182018</v>
      </c>
      <c r="F2203" s="9"/>
    </row>
    <row r="2204" s="2" customFormat="1" ht="30" customHeight="1" spans="1:6">
      <c r="A2204" s="9">
        <v>2201</v>
      </c>
      <c r="B2204" s="10" t="s">
        <v>1230</v>
      </c>
      <c r="C2204" s="10" t="s">
        <v>1231</v>
      </c>
      <c r="D2204" s="10" t="s">
        <v>2189</v>
      </c>
      <c r="E2204" s="10" t="str">
        <f>"644020240515104514181097"</f>
        <v>644020240515104514181097</v>
      </c>
      <c r="F2204" s="9"/>
    </row>
    <row r="2205" s="2" customFormat="1" ht="30" customHeight="1" spans="1:6">
      <c r="A2205" s="9">
        <v>2202</v>
      </c>
      <c r="B2205" s="10" t="s">
        <v>1230</v>
      </c>
      <c r="C2205" s="10" t="s">
        <v>1231</v>
      </c>
      <c r="D2205" s="10" t="s">
        <v>2190</v>
      </c>
      <c r="E2205" s="10" t="str">
        <f>"644020240515175321182045"</f>
        <v>644020240515175321182045</v>
      </c>
      <c r="F2205" s="9"/>
    </row>
    <row r="2206" s="2" customFormat="1" ht="30" customHeight="1" spans="1:6">
      <c r="A2206" s="9">
        <v>2203</v>
      </c>
      <c r="B2206" s="10" t="s">
        <v>1230</v>
      </c>
      <c r="C2206" s="10" t="s">
        <v>1231</v>
      </c>
      <c r="D2206" s="10" t="s">
        <v>2191</v>
      </c>
      <c r="E2206" s="10" t="str">
        <f>"644020240515180333182062"</f>
        <v>644020240515180333182062</v>
      </c>
      <c r="F2206" s="9"/>
    </row>
    <row r="2207" s="2" customFormat="1" ht="30" customHeight="1" spans="1:6">
      <c r="A2207" s="9">
        <v>2204</v>
      </c>
      <c r="B2207" s="10" t="s">
        <v>1230</v>
      </c>
      <c r="C2207" s="10" t="s">
        <v>1231</v>
      </c>
      <c r="D2207" s="10" t="s">
        <v>2192</v>
      </c>
      <c r="E2207" s="10" t="str">
        <f>"644020240515181423182081"</f>
        <v>644020240515181423182081</v>
      </c>
      <c r="F2207" s="9"/>
    </row>
    <row r="2208" s="2" customFormat="1" ht="30" customHeight="1" spans="1:6">
      <c r="A2208" s="9">
        <v>2205</v>
      </c>
      <c r="B2208" s="10" t="s">
        <v>1230</v>
      </c>
      <c r="C2208" s="10" t="s">
        <v>1231</v>
      </c>
      <c r="D2208" s="10" t="s">
        <v>2193</v>
      </c>
      <c r="E2208" s="10" t="str">
        <f>"644020240512095428168347"</f>
        <v>644020240512095428168347</v>
      </c>
      <c r="F2208" s="9"/>
    </row>
    <row r="2209" s="2" customFormat="1" ht="30" customHeight="1" spans="1:6">
      <c r="A2209" s="9">
        <v>2206</v>
      </c>
      <c r="B2209" s="10" t="s">
        <v>1230</v>
      </c>
      <c r="C2209" s="10" t="s">
        <v>1231</v>
      </c>
      <c r="D2209" s="10" t="s">
        <v>2194</v>
      </c>
      <c r="E2209" s="10" t="str">
        <f>"644020240515182046182084"</f>
        <v>644020240515182046182084</v>
      </c>
      <c r="F2209" s="9"/>
    </row>
    <row r="2210" s="2" customFormat="1" ht="30" customHeight="1" spans="1:6">
      <c r="A2210" s="9">
        <v>2207</v>
      </c>
      <c r="B2210" s="10" t="s">
        <v>1230</v>
      </c>
      <c r="C2210" s="10" t="s">
        <v>1231</v>
      </c>
      <c r="D2210" s="10" t="s">
        <v>147</v>
      </c>
      <c r="E2210" s="10" t="str">
        <f>"644020240515180639182069"</f>
        <v>644020240515180639182069</v>
      </c>
      <c r="F2210" s="9"/>
    </row>
    <row r="2211" s="2" customFormat="1" ht="30" customHeight="1" spans="1:6">
      <c r="A2211" s="9">
        <v>2208</v>
      </c>
      <c r="B2211" s="10" t="s">
        <v>1230</v>
      </c>
      <c r="C2211" s="10" t="s">
        <v>1231</v>
      </c>
      <c r="D2211" s="10" t="s">
        <v>2195</v>
      </c>
      <c r="E2211" s="10" t="str">
        <f>"644020240515182249182085"</f>
        <v>644020240515182249182085</v>
      </c>
      <c r="F2211" s="9"/>
    </row>
    <row r="2212" s="2" customFormat="1" ht="30" customHeight="1" spans="1:6">
      <c r="A2212" s="9">
        <v>2209</v>
      </c>
      <c r="B2212" s="10" t="s">
        <v>1230</v>
      </c>
      <c r="C2212" s="10" t="s">
        <v>1231</v>
      </c>
      <c r="D2212" s="10" t="s">
        <v>2196</v>
      </c>
      <c r="E2212" s="10" t="str">
        <f>"644020240512220944171382"</f>
        <v>644020240512220944171382</v>
      </c>
      <c r="F2212" s="9"/>
    </row>
    <row r="2213" s="2" customFormat="1" ht="30" customHeight="1" spans="1:6">
      <c r="A2213" s="9">
        <v>2210</v>
      </c>
      <c r="B2213" s="10" t="s">
        <v>1230</v>
      </c>
      <c r="C2213" s="10" t="s">
        <v>1231</v>
      </c>
      <c r="D2213" s="10" t="s">
        <v>2197</v>
      </c>
      <c r="E2213" s="10" t="str">
        <f>"644020240513083129172303"</f>
        <v>644020240513083129172303</v>
      </c>
      <c r="F2213" s="9"/>
    </row>
    <row r="2214" s="2" customFormat="1" ht="30" customHeight="1" spans="1:6">
      <c r="A2214" s="9">
        <v>2211</v>
      </c>
      <c r="B2214" s="10" t="s">
        <v>1230</v>
      </c>
      <c r="C2214" s="10" t="s">
        <v>1231</v>
      </c>
      <c r="D2214" s="10" t="s">
        <v>2198</v>
      </c>
      <c r="E2214" s="10" t="str">
        <f>"644020240512161511169937"</f>
        <v>644020240512161511169937</v>
      </c>
      <c r="F2214" s="9"/>
    </row>
    <row r="2215" s="2" customFormat="1" ht="30" customHeight="1" spans="1:6">
      <c r="A2215" s="9">
        <v>2212</v>
      </c>
      <c r="B2215" s="10" t="s">
        <v>1230</v>
      </c>
      <c r="C2215" s="10" t="s">
        <v>1231</v>
      </c>
      <c r="D2215" s="10" t="s">
        <v>2199</v>
      </c>
      <c r="E2215" s="10" t="str">
        <f>"644020240514184640179858"</f>
        <v>644020240514184640179858</v>
      </c>
      <c r="F2215" s="9"/>
    </row>
    <row r="2216" s="2" customFormat="1" ht="30" customHeight="1" spans="1:6">
      <c r="A2216" s="9">
        <v>2213</v>
      </c>
      <c r="B2216" s="10" t="s">
        <v>1230</v>
      </c>
      <c r="C2216" s="10" t="s">
        <v>1231</v>
      </c>
      <c r="D2216" s="10" t="s">
        <v>2200</v>
      </c>
      <c r="E2216" s="10" t="str">
        <f>"644020240515180134182059"</f>
        <v>644020240515180134182059</v>
      </c>
      <c r="F2216" s="9"/>
    </row>
    <row r="2217" s="2" customFormat="1" ht="30" customHeight="1" spans="1:6">
      <c r="A2217" s="9">
        <v>2214</v>
      </c>
      <c r="B2217" s="10" t="s">
        <v>1230</v>
      </c>
      <c r="C2217" s="10" t="s">
        <v>1231</v>
      </c>
      <c r="D2217" s="10" t="s">
        <v>2201</v>
      </c>
      <c r="E2217" s="10" t="str">
        <f>"644020240512112016168831"</f>
        <v>644020240512112016168831</v>
      </c>
      <c r="F2217" s="9"/>
    </row>
    <row r="2218" s="2" customFormat="1" ht="30" customHeight="1" spans="1:6">
      <c r="A2218" s="9">
        <v>2215</v>
      </c>
      <c r="B2218" s="10" t="s">
        <v>1230</v>
      </c>
      <c r="C2218" s="10" t="s">
        <v>1231</v>
      </c>
      <c r="D2218" s="10" t="s">
        <v>2202</v>
      </c>
      <c r="E2218" s="10" t="str">
        <f>"644020240515181418182080"</f>
        <v>644020240515181418182080</v>
      </c>
      <c r="F2218" s="9"/>
    </row>
    <row r="2219" s="2" customFormat="1" ht="30" customHeight="1" spans="1:6">
      <c r="A2219" s="9">
        <v>2216</v>
      </c>
      <c r="B2219" s="10" t="s">
        <v>1230</v>
      </c>
      <c r="C2219" s="10" t="s">
        <v>1231</v>
      </c>
      <c r="D2219" s="10" t="s">
        <v>2203</v>
      </c>
      <c r="E2219" s="10" t="str">
        <f>"644020240515084428180729"</f>
        <v>644020240515084428180729</v>
      </c>
      <c r="F2219" s="9"/>
    </row>
    <row r="2220" s="2" customFormat="1" ht="30" customHeight="1" spans="1:6">
      <c r="A2220" s="9">
        <v>2217</v>
      </c>
      <c r="B2220" s="10" t="s">
        <v>1230</v>
      </c>
      <c r="C2220" s="10" t="s">
        <v>1231</v>
      </c>
      <c r="D2220" s="10" t="s">
        <v>2204</v>
      </c>
      <c r="E2220" s="10" t="str">
        <f>"644020240514102045178375"</f>
        <v>644020240514102045178375</v>
      </c>
      <c r="F2220" s="9"/>
    </row>
    <row r="2221" s="2" customFormat="1" ht="30" customHeight="1" spans="1:6">
      <c r="A2221" s="9">
        <v>2218</v>
      </c>
      <c r="B2221" s="10" t="s">
        <v>1230</v>
      </c>
      <c r="C2221" s="10" t="s">
        <v>1231</v>
      </c>
      <c r="D2221" s="10" t="s">
        <v>2205</v>
      </c>
      <c r="E2221" s="10" t="str">
        <f>"644020240513122523174271"</f>
        <v>644020240513122523174271</v>
      </c>
      <c r="F2221" s="9"/>
    </row>
    <row r="2222" s="2" customFormat="1" ht="30" customHeight="1" spans="1:6">
      <c r="A2222" s="9">
        <v>2219</v>
      </c>
      <c r="B2222" s="10" t="s">
        <v>1230</v>
      </c>
      <c r="C2222" s="10" t="s">
        <v>1231</v>
      </c>
      <c r="D2222" s="10" t="s">
        <v>2206</v>
      </c>
      <c r="E2222" s="10" t="str">
        <f>"644020240515164016181893"</f>
        <v>644020240515164016181893</v>
      </c>
      <c r="F2222" s="9"/>
    </row>
    <row r="2223" s="2" customFormat="1" ht="30" customHeight="1" spans="1:6">
      <c r="A2223" s="9">
        <v>2220</v>
      </c>
      <c r="B2223" s="10" t="s">
        <v>1230</v>
      </c>
      <c r="C2223" s="10" t="s">
        <v>1231</v>
      </c>
      <c r="D2223" s="10" t="s">
        <v>2207</v>
      </c>
      <c r="E2223" s="10" t="str">
        <f>"644020240515185012182125"</f>
        <v>644020240515185012182125</v>
      </c>
      <c r="F2223" s="9"/>
    </row>
    <row r="2224" s="2" customFormat="1" ht="30" customHeight="1" spans="1:6">
      <c r="A2224" s="9">
        <v>2221</v>
      </c>
      <c r="B2224" s="10" t="s">
        <v>1230</v>
      </c>
      <c r="C2224" s="10" t="s">
        <v>1231</v>
      </c>
      <c r="D2224" s="10" t="s">
        <v>2208</v>
      </c>
      <c r="E2224" s="10" t="str">
        <f>"644020240512093211168253"</f>
        <v>644020240512093211168253</v>
      </c>
      <c r="F2224" s="9"/>
    </row>
    <row r="2225" s="2" customFormat="1" ht="30" customHeight="1" spans="1:6">
      <c r="A2225" s="9">
        <v>2222</v>
      </c>
      <c r="B2225" s="10" t="s">
        <v>1230</v>
      </c>
      <c r="C2225" s="10" t="s">
        <v>1231</v>
      </c>
      <c r="D2225" s="10" t="s">
        <v>2209</v>
      </c>
      <c r="E2225" s="10" t="str">
        <f>"644020240514214359180236"</f>
        <v>644020240514214359180236</v>
      </c>
      <c r="F2225" s="9"/>
    </row>
    <row r="2226" s="2" customFormat="1" ht="30" customHeight="1" spans="1:6">
      <c r="A2226" s="9">
        <v>2223</v>
      </c>
      <c r="B2226" s="10" t="s">
        <v>1230</v>
      </c>
      <c r="C2226" s="10" t="s">
        <v>1231</v>
      </c>
      <c r="D2226" s="10" t="s">
        <v>2210</v>
      </c>
      <c r="E2226" s="10" t="str">
        <f>"644020240515182423182087"</f>
        <v>644020240515182423182087</v>
      </c>
      <c r="F2226" s="9"/>
    </row>
    <row r="2227" s="2" customFormat="1" ht="30" customHeight="1" spans="1:6">
      <c r="A2227" s="9">
        <v>2224</v>
      </c>
      <c r="B2227" s="10" t="s">
        <v>1230</v>
      </c>
      <c r="C2227" s="10" t="s">
        <v>1231</v>
      </c>
      <c r="D2227" s="10" t="s">
        <v>2211</v>
      </c>
      <c r="E2227" s="10" t="str">
        <f>"644020240514214517180244"</f>
        <v>644020240514214517180244</v>
      </c>
      <c r="F2227" s="9"/>
    </row>
    <row r="2228" s="2" customFormat="1" ht="30" customHeight="1" spans="1:6">
      <c r="A2228" s="9">
        <v>2225</v>
      </c>
      <c r="B2228" s="10" t="s">
        <v>1230</v>
      </c>
      <c r="C2228" s="10" t="s">
        <v>1231</v>
      </c>
      <c r="D2228" s="10" t="s">
        <v>2212</v>
      </c>
      <c r="E2228" s="10" t="str">
        <f>"644020240515192303182160"</f>
        <v>644020240515192303182160</v>
      </c>
      <c r="F2228" s="9"/>
    </row>
    <row r="2229" s="2" customFormat="1" ht="30" customHeight="1" spans="1:6">
      <c r="A2229" s="9">
        <v>2226</v>
      </c>
      <c r="B2229" s="10" t="s">
        <v>1230</v>
      </c>
      <c r="C2229" s="10" t="s">
        <v>1231</v>
      </c>
      <c r="D2229" s="10" t="s">
        <v>2213</v>
      </c>
      <c r="E2229" s="10" t="str">
        <f>"644020240513191054176551"</f>
        <v>644020240513191054176551</v>
      </c>
      <c r="F2229" s="9"/>
    </row>
    <row r="2230" s="2" customFormat="1" ht="30" customHeight="1" spans="1:6">
      <c r="A2230" s="9">
        <v>2227</v>
      </c>
      <c r="B2230" s="10" t="s">
        <v>1230</v>
      </c>
      <c r="C2230" s="10" t="s">
        <v>1231</v>
      </c>
      <c r="D2230" s="10" t="s">
        <v>2214</v>
      </c>
      <c r="E2230" s="10" t="str">
        <f>"644020240515183945182104"</f>
        <v>644020240515183945182104</v>
      </c>
      <c r="F2230" s="9"/>
    </row>
    <row r="2231" s="2" customFormat="1" ht="30" customHeight="1" spans="1:6">
      <c r="A2231" s="9">
        <v>2228</v>
      </c>
      <c r="B2231" s="10" t="s">
        <v>1230</v>
      </c>
      <c r="C2231" s="10" t="s">
        <v>1231</v>
      </c>
      <c r="D2231" s="10" t="s">
        <v>2215</v>
      </c>
      <c r="E2231" s="10" t="str">
        <f>"644020240515192218182159"</f>
        <v>644020240515192218182159</v>
      </c>
      <c r="F2231" s="9"/>
    </row>
    <row r="2232" s="2" customFormat="1" ht="30" customHeight="1" spans="1:6">
      <c r="A2232" s="9">
        <v>2229</v>
      </c>
      <c r="B2232" s="10" t="s">
        <v>1230</v>
      </c>
      <c r="C2232" s="10" t="s">
        <v>1231</v>
      </c>
      <c r="D2232" s="10" t="s">
        <v>2216</v>
      </c>
      <c r="E2232" s="10" t="str">
        <f>"644020240514144326179155"</f>
        <v>644020240514144326179155</v>
      </c>
      <c r="F2232" s="9"/>
    </row>
    <row r="2233" s="2" customFormat="1" ht="30" customHeight="1" spans="1:6">
      <c r="A2233" s="9">
        <v>2230</v>
      </c>
      <c r="B2233" s="10" t="s">
        <v>1230</v>
      </c>
      <c r="C2233" s="10" t="s">
        <v>1231</v>
      </c>
      <c r="D2233" s="10" t="s">
        <v>2217</v>
      </c>
      <c r="E2233" s="10" t="str">
        <f>"644020240515195342182208"</f>
        <v>644020240515195342182208</v>
      </c>
      <c r="F2233" s="9"/>
    </row>
    <row r="2234" s="2" customFormat="1" ht="30" customHeight="1" spans="1:6">
      <c r="A2234" s="9">
        <v>2231</v>
      </c>
      <c r="B2234" s="10" t="s">
        <v>1230</v>
      </c>
      <c r="C2234" s="10" t="s">
        <v>1231</v>
      </c>
      <c r="D2234" s="10" t="s">
        <v>2153</v>
      </c>
      <c r="E2234" s="10" t="str">
        <f>"644020240514141335179099"</f>
        <v>644020240514141335179099</v>
      </c>
      <c r="F2234" s="9"/>
    </row>
    <row r="2235" s="2" customFormat="1" ht="30" customHeight="1" spans="1:6">
      <c r="A2235" s="9">
        <v>2232</v>
      </c>
      <c r="B2235" s="10" t="s">
        <v>1230</v>
      </c>
      <c r="C2235" s="10" t="s">
        <v>1231</v>
      </c>
      <c r="D2235" s="10" t="s">
        <v>2218</v>
      </c>
      <c r="E2235" s="10" t="str">
        <f>"644020240515195027182200"</f>
        <v>644020240515195027182200</v>
      </c>
      <c r="F2235" s="9"/>
    </row>
    <row r="2236" s="2" customFormat="1" ht="30" customHeight="1" spans="1:6">
      <c r="A2236" s="9">
        <v>2233</v>
      </c>
      <c r="B2236" s="10" t="s">
        <v>1230</v>
      </c>
      <c r="C2236" s="10" t="s">
        <v>1231</v>
      </c>
      <c r="D2236" s="10" t="s">
        <v>2219</v>
      </c>
      <c r="E2236" s="10" t="str">
        <f>"644020240513143511175005"</f>
        <v>644020240513143511175005</v>
      </c>
      <c r="F2236" s="9"/>
    </row>
    <row r="2237" s="2" customFormat="1" ht="30" customHeight="1" spans="1:6">
      <c r="A2237" s="9">
        <v>2234</v>
      </c>
      <c r="B2237" s="10" t="s">
        <v>1230</v>
      </c>
      <c r="C2237" s="10" t="s">
        <v>1231</v>
      </c>
      <c r="D2237" s="10" t="s">
        <v>2220</v>
      </c>
      <c r="E2237" s="10" t="str">
        <f>"644020240515180724182070"</f>
        <v>644020240515180724182070</v>
      </c>
      <c r="F2237" s="9"/>
    </row>
    <row r="2238" s="2" customFormat="1" ht="30" customHeight="1" spans="1:6">
      <c r="A2238" s="9">
        <v>2235</v>
      </c>
      <c r="B2238" s="10" t="s">
        <v>1230</v>
      </c>
      <c r="C2238" s="10" t="s">
        <v>1231</v>
      </c>
      <c r="D2238" s="10" t="s">
        <v>2221</v>
      </c>
      <c r="E2238" s="10" t="str">
        <f>"644020240513172834176224"</f>
        <v>644020240513172834176224</v>
      </c>
      <c r="F2238" s="9"/>
    </row>
    <row r="2239" s="2" customFormat="1" ht="30" customHeight="1" spans="1:6">
      <c r="A2239" s="9">
        <v>2236</v>
      </c>
      <c r="B2239" s="10" t="s">
        <v>1230</v>
      </c>
      <c r="C2239" s="10" t="s">
        <v>1231</v>
      </c>
      <c r="D2239" s="10" t="s">
        <v>1255</v>
      </c>
      <c r="E2239" s="10" t="str">
        <f>"644020240514214452180243"</f>
        <v>644020240514214452180243</v>
      </c>
      <c r="F2239" s="9"/>
    </row>
    <row r="2240" s="2" customFormat="1" ht="30" customHeight="1" spans="1:6">
      <c r="A2240" s="9">
        <v>2237</v>
      </c>
      <c r="B2240" s="10" t="s">
        <v>1230</v>
      </c>
      <c r="C2240" s="10" t="s">
        <v>1231</v>
      </c>
      <c r="D2240" s="10" t="s">
        <v>2222</v>
      </c>
      <c r="E2240" s="10" t="str">
        <f>"644020240515181824182083"</f>
        <v>644020240515181824182083</v>
      </c>
      <c r="F2240" s="9"/>
    </row>
    <row r="2241" s="2" customFormat="1" ht="30" customHeight="1" spans="1:6">
      <c r="A2241" s="9">
        <v>2238</v>
      </c>
      <c r="B2241" s="10" t="s">
        <v>1230</v>
      </c>
      <c r="C2241" s="10" t="s">
        <v>1231</v>
      </c>
      <c r="D2241" s="10" t="s">
        <v>2223</v>
      </c>
      <c r="E2241" s="10" t="str">
        <f>"644020240515110348181160"</f>
        <v>644020240515110348181160</v>
      </c>
      <c r="F2241" s="9"/>
    </row>
    <row r="2242" s="2" customFormat="1" ht="30" customHeight="1" spans="1:6">
      <c r="A2242" s="9">
        <v>2239</v>
      </c>
      <c r="B2242" s="10" t="s">
        <v>1230</v>
      </c>
      <c r="C2242" s="10" t="s">
        <v>1231</v>
      </c>
      <c r="D2242" s="10" t="s">
        <v>2224</v>
      </c>
      <c r="E2242" s="10" t="str">
        <f>"644020240512224103171559"</f>
        <v>644020240512224103171559</v>
      </c>
      <c r="F2242" s="9"/>
    </row>
    <row r="2243" s="2" customFormat="1" ht="30" customHeight="1" spans="1:6">
      <c r="A2243" s="9">
        <v>2240</v>
      </c>
      <c r="B2243" s="10" t="s">
        <v>1230</v>
      </c>
      <c r="C2243" s="10" t="s">
        <v>1231</v>
      </c>
      <c r="D2243" s="10" t="s">
        <v>2225</v>
      </c>
      <c r="E2243" s="10" t="str">
        <f>"644020240512210452171015"</f>
        <v>644020240512210452171015</v>
      </c>
      <c r="F2243" s="9"/>
    </row>
    <row r="2244" s="2" customFormat="1" ht="30" customHeight="1" spans="1:6">
      <c r="A2244" s="9">
        <v>2241</v>
      </c>
      <c r="B2244" s="10" t="s">
        <v>1230</v>
      </c>
      <c r="C2244" s="10" t="s">
        <v>1231</v>
      </c>
      <c r="D2244" s="10" t="s">
        <v>2226</v>
      </c>
      <c r="E2244" s="10" t="str">
        <f>"644020240515113641181262"</f>
        <v>644020240515113641181262</v>
      </c>
      <c r="F2244" s="9"/>
    </row>
    <row r="2245" s="2" customFormat="1" ht="30" customHeight="1" spans="1:6">
      <c r="A2245" s="9">
        <v>2242</v>
      </c>
      <c r="B2245" s="10" t="s">
        <v>1230</v>
      </c>
      <c r="C2245" s="10" t="s">
        <v>1231</v>
      </c>
      <c r="D2245" s="10" t="s">
        <v>2227</v>
      </c>
      <c r="E2245" s="10" t="str">
        <f>"644020240514164730179557"</f>
        <v>644020240514164730179557</v>
      </c>
      <c r="F2245" s="9"/>
    </row>
    <row r="2246" s="2" customFormat="1" ht="30" customHeight="1" spans="1:6">
      <c r="A2246" s="9">
        <v>2243</v>
      </c>
      <c r="B2246" s="10" t="s">
        <v>1230</v>
      </c>
      <c r="C2246" s="10" t="s">
        <v>1231</v>
      </c>
      <c r="D2246" s="10" t="s">
        <v>2228</v>
      </c>
      <c r="E2246" s="10" t="str">
        <f>"644020240514221240180327"</f>
        <v>644020240514221240180327</v>
      </c>
      <c r="F2246" s="9"/>
    </row>
    <row r="2247" s="2" customFormat="1" ht="30" customHeight="1" spans="1:6">
      <c r="A2247" s="9">
        <v>2244</v>
      </c>
      <c r="B2247" s="10" t="s">
        <v>1230</v>
      </c>
      <c r="C2247" s="10" t="s">
        <v>1231</v>
      </c>
      <c r="D2247" s="10" t="s">
        <v>2229</v>
      </c>
      <c r="E2247" s="10" t="str">
        <f>"644020240514223005180378"</f>
        <v>644020240514223005180378</v>
      </c>
      <c r="F2247" s="9"/>
    </row>
    <row r="2248" s="2" customFormat="1" ht="30" customHeight="1" spans="1:6">
      <c r="A2248" s="9">
        <v>2245</v>
      </c>
      <c r="B2248" s="10" t="s">
        <v>1230</v>
      </c>
      <c r="C2248" s="10" t="s">
        <v>1231</v>
      </c>
      <c r="D2248" s="10" t="s">
        <v>2230</v>
      </c>
      <c r="E2248" s="10" t="str">
        <f>"644020240515115927181320"</f>
        <v>644020240515115927181320</v>
      </c>
      <c r="F2248" s="9"/>
    </row>
    <row r="2249" s="2" customFormat="1" ht="30" customHeight="1" spans="1:6">
      <c r="A2249" s="9">
        <v>2246</v>
      </c>
      <c r="B2249" s="10" t="s">
        <v>1230</v>
      </c>
      <c r="C2249" s="10" t="s">
        <v>1231</v>
      </c>
      <c r="D2249" s="10" t="s">
        <v>2231</v>
      </c>
      <c r="E2249" s="10" t="str">
        <f>"644020240515201306182234"</f>
        <v>644020240515201306182234</v>
      </c>
      <c r="F2249" s="9"/>
    </row>
    <row r="2250" s="2" customFormat="1" ht="30" customHeight="1" spans="1:6">
      <c r="A2250" s="9">
        <v>2247</v>
      </c>
      <c r="B2250" s="10" t="s">
        <v>1230</v>
      </c>
      <c r="C2250" s="10" t="s">
        <v>1231</v>
      </c>
      <c r="D2250" s="10" t="s">
        <v>2232</v>
      </c>
      <c r="E2250" s="10" t="str">
        <f>"644020240515135051181505"</f>
        <v>644020240515135051181505</v>
      </c>
      <c r="F2250" s="9"/>
    </row>
    <row r="2251" s="2" customFormat="1" ht="30" customHeight="1" spans="1:6">
      <c r="A2251" s="9">
        <v>2248</v>
      </c>
      <c r="B2251" s="10" t="s">
        <v>1230</v>
      </c>
      <c r="C2251" s="10" t="s">
        <v>1231</v>
      </c>
      <c r="D2251" s="10" t="s">
        <v>2233</v>
      </c>
      <c r="E2251" s="10" t="str">
        <f>"644020240515175523182050"</f>
        <v>644020240515175523182050</v>
      </c>
      <c r="F2251" s="9"/>
    </row>
    <row r="2252" s="2" customFormat="1" ht="30" customHeight="1" spans="1:6">
      <c r="A2252" s="9">
        <v>2249</v>
      </c>
      <c r="B2252" s="10" t="s">
        <v>1230</v>
      </c>
      <c r="C2252" s="10" t="s">
        <v>1231</v>
      </c>
      <c r="D2252" s="10" t="s">
        <v>2234</v>
      </c>
      <c r="E2252" s="10" t="str">
        <f>"644020240515065531180639"</f>
        <v>644020240515065531180639</v>
      </c>
      <c r="F2252" s="9"/>
    </row>
    <row r="2253" s="2" customFormat="1" ht="30" customHeight="1" spans="1:6">
      <c r="A2253" s="9">
        <v>2250</v>
      </c>
      <c r="B2253" s="10" t="s">
        <v>1230</v>
      </c>
      <c r="C2253" s="10" t="s">
        <v>1231</v>
      </c>
      <c r="D2253" s="10" t="s">
        <v>2235</v>
      </c>
      <c r="E2253" s="10" t="str">
        <f>"644020240514131608178998"</f>
        <v>644020240514131608178998</v>
      </c>
      <c r="F2253" s="9"/>
    </row>
    <row r="2254" s="2" customFormat="1" ht="30" customHeight="1" spans="1:6">
      <c r="A2254" s="9">
        <v>2251</v>
      </c>
      <c r="B2254" s="10" t="s">
        <v>1230</v>
      </c>
      <c r="C2254" s="10" t="s">
        <v>1231</v>
      </c>
      <c r="D2254" s="10" t="s">
        <v>2236</v>
      </c>
      <c r="E2254" s="10" t="str">
        <f>"644020240514224851180425"</f>
        <v>644020240514224851180425</v>
      </c>
      <c r="F2254" s="9"/>
    </row>
    <row r="2255" s="2" customFormat="1" ht="30" customHeight="1" spans="1:6">
      <c r="A2255" s="9">
        <v>2252</v>
      </c>
      <c r="B2255" s="10" t="s">
        <v>1230</v>
      </c>
      <c r="C2255" s="10" t="s">
        <v>1231</v>
      </c>
      <c r="D2255" s="10" t="s">
        <v>2237</v>
      </c>
      <c r="E2255" s="10" t="str">
        <f>"644020240515033901180629"</f>
        <v>644020240515033901180629</v>
      </c>
      <c r="F2255" s="9"/>
    </row>
    <row r="2256" s="2" customFormat="1" ht="30" customHeight="1" spans="1:6">
      <c r="A2256" s="9">
        <v>2253</v>
      </c>
      <c r="B2256" s="10" t="s">
        <v>1230</v>
      </c>
      <c r="C2256" s="10" t="s">
        <v>1231</v>
      </c>
      <c r="D2256" s="10" t="s">
        <v>970</v>
      </c>
      <c r="E2256" s="10" t="str">
        <f>"644020240512221059171391"</f>
        <v>644020240512221059171391</v>
      </c>
      <c r="F2256" s="9"/>
    </row>
    <row r="2257" s="2" customFormat="1" ht="30" customHeight="1" spans="1:6">
      <c r="A2257" s="9">
        <v>2254</v>
      </c>
      <c r="B2257" s="10" t="s">
        <v>1230</v>
      </c>
      <c r="C2257" s="10" t="s">
        <v>1231</v>
      </c>
      <c r="D2257" s="10" t="s">
        <v>2238</v>
      </c>
      <c r="E2257" s="10" t="str">
        <f>"644020240514174055179734"</f>
        <v>644020240514174055179734</v>
      </c>
      <c r="F2257" s="9"/>
    </row>
    <row r="2258" s="2" customFormat="1" ht="30" customHeight="1" spans="1:6">
      <c r="A2258" s="9">
        <v>2255</v>
      </c>
      <c r="B2258" s="10" t="s">
        <v>1230</v>
      </c>
      <c r="C2258" s="10" t="s">
        <v>1231</v>
      </c>
      <c r="D2258" s="10" t="s">
        <v>2239</v>
      </c>
      <c r="E2258" s="10" t="str">
        <f>"644020240515220326182341"</f>
        <v>644020240515220326182341</v>
      </c>
      <c r="F2258" s="9"/>
    </row>
    <row r="2259" s="2" customFormat="1" ht="30" customHeight="1" spans="1:6">
      <c r="A2259" s="9">
        <v>2256</v>
      </c>
      <c r="B2259" s="10" t="s">
        <v>1230</v>
      </c>
      <c r="C2259" s="10" t="s">
        <v>1231</v>
      </c>
      <c r="D2259" s="10" t="s">
        <v>2240</v>
      </c>
      <c r="E2259" s="10" t="str">
        <f>"644020240515105225181120"</f>
        <v>644020240515105225181120</v>
      </c>
      <c r="F2259" s="9"/>
    </row>
    <row r="2260" s="2" customFormat="1" ht="30" customHeight="1" spans="1:6">
      <c r="A2260" s="9">
        <v>2257</v>
      </c>
      <c r="B2260" s="10" t="s">
        <v>1230</v>
      </c>
      <c r="C2260" s="10" t="s">
        <v>1231</v>
      </c>
      <c r="D2260" s="10" t="s">
        <v>2241</v>
      </c>
      <c r="E2260" s="10" t="str">
        <f>"644020240513221029177276"</f>
        <v>644020240513221029177276</v>
      </c>
      <c r="F2260" s="9"/>
    </row>
    <row r="2261" s="2" customFormat="1" ht="30" customHeight="1" spans="1:6">
      <c r="A2261" s="9">
        <v>2258</v>
      </c>
      <c r="B2261" s="10" t="s">
        <v>1230</v>
      </c>
      <c r="C2261" s="10" t="s">
        <v>1231</v>
      </c>
      <c r="D2261" s="10" t="s">
        <v>2242</v>
      </c>
      <c r="E2261" s="10" t="str">
        <f>"644020240515221124182367"</f>
        <v>644020240515221124182367</v>
      </c>
      <c r="F2261" s="9"/>
    </row>
    <row r="2262" s="2" customFormat="1" ht="30" customHeight="1" spans="1:6">
      <c r="A2262" s="9">
        <v>2259</v>
      </c>
      <c r="B2262" s="10" t="s">
        <v>1230</v>
      </c>
      <c r="C2262" s="10" t="s">
        <v>1231</v>
      </c>
      <c r="D2262" s="10" t="s">
        <v>2243</v>
      </c>
      <c r="E2262" s="10" t="str">
        <f>"644020240514221347180333"</f>
        <v>644020240514221347180333</v>
      </c>
      <c r="F2262" s="9"/>
    </row>
    <row r="2263" s="2" customFormat="1" ht="30" customHeight="1" spans="1:6">
      <c r="A2263" s="9">
        <v>2260</v>
      </c>
      <c r="B2263" s="10" t="s">
        <v>1230</v>
      </c>
      <c r="C2263" s="10" t="s">
        <v>1231</v>
      </c>
      <c r="D2263" s="10" t="s">
        <v>2244</v>
      </c>
      <c r="E2263" s="10" t="str">
        <f>"644020240512160018169875"</f>
        <v>644020240512160018169875</v>
      </c>
      <c r="F2263" s="9"/>
    </row>
    <row r="2264" s="2" customFormat="1" ht="30" customHeight="1" spans="1:6">
      <c r="A2264" s="9">
        <v>2261</v>
      </c>
      <c r="B2264" s="10" t="s">
        <v>1230</v>
      </c>
      <c r="C2264" s="10" t="s">
        <v>1231</v>
      </c>
      <c r="D2264" s="10" t="s">
        <v>1676</v>
      </c>
      <c r="E2264" s="10" t="str">
        <f>"644020240512191320170546"</f>
        <v>644020240512191320170546</v>
      </c>
      <c r="F2264" s="9"/>
    </row>
    <row r="2265" s="2" customFormat="1" ht="30" customHeight="1" spans="1:6">
      <c r="A2265" s="9">
        <v>2262</v>
      </c>
      <c r="B2265" s="10" t="s">
        <v>1230</v>
      </c>
      <c r="C2265" s="10" t="s">
        <v>1231</v>
      </c>
      <c r="D2265" s="10" t="s">
        <v>2245</v>
      </c>
      <c r="E2265" s="10" t="str">
        <f>"644020240515220241182334"</f>
        <v>644020240515220241182334</v>
      </c>
      <c r="F2265" s="9"/>
    </row>
    <row r="2266" s="2" customFormat="1" ht="30" customHeight="1" spans="1:6">
      <c r="A2266" s="9">
        <v>2263</v>
      </c>
      <c r="B2266" s="10" t="s">
        <v>1230</v>
      </c>
      <c r="C2266" s="10" t="s">
        <v>1231</v>
      </c>
      <c r="D2266" s="10" t="s">
        <v>2246</v>
      </c>
      <c r="E2266" s="10" t="str">
        <f>"644020240515221301182371"</f>
        <v>644020240515221301182371</v>
      </c>
      <c r="F2266" s="9"/>
    </row>
    <row r="2267" s="2" customFormat="1" ht="30" customHeight="1" spans="1:6">
      <c r="A2267" s="9">
        <v>2264</v>
      </c>
      <c r="B2267" s="10" t="s">
        <v>1230</v>
      </c>
      <c r="C2267" s="10" t="s">
        <v>1231</v>
      </c>
      <c r="D2267" s="10" t="s">
        <v>2247</v>
      </c>
      <c r="E2267" s="10" t="str">
        <f>"644020240515220319182340"</f>
        <v>644020240515220319182340</v>
      </c>
      <c r="F2267" s="9"/>
    </row>
    <row r="2268" s="2" customFormat="1" ht="30" customHeight="1" spans="1:6">
      <c r="A2268" s="9">
        <v>2265</v>
      </c>
      <c r="B2268" s="10" t="s">
        <v>1230</v>
      </c>
      <c r="C2268" s="10" t="s">
        <v>1231</v>
      </c>
      <c r="D2268" s="10" t="s">
        <v>2248</v>
      </c>
      <c r="E2268" s="10" t="str">
        <f>"644020240515222410182408"</f>
        <v>644020240515222410182408</v>
      </c>
      <c r="F2268" s="9"/>
    </row>
    <row r="2269" s="2" customFormat="1" ht="30" customHeight="1" spans="1:6">
      <c r="A2269" s="9">
        <v>2266</v>
      </c>
      <c r="B2269" s="10" t="s">
        <v>1230</v>
      </c>
      <c r="C2269" s="10" t="s">
        <v>1231</v>
      </c>
      <c r="D2269" s="10" t="s">
        <v>2249</v>
      </c>
      <c r="E2269" s="10" t="str">
        <f>"644020240513191640176568"</f>
        <v>644020240513191640176568</v>
      </c>
      <c r="F2269" s="9"/>
    </row>
    <row r="2270" s="2" customFormat="1" ht="30" customHeight="1" spans="1:6">
      <c r="A2270" s="9">
        <v>2267</v>
      </c>
      <c r="B2270" s="10" t="s">
        <v>1230</v>
      </c>
      <c r="C2270" s="10" t="s">
        <v>1231</v>
      </c>
      <c r="D2270" s="10" t="s">
        <v>2250</v>
      </c>
      <c r="E2270" s="10" t="str">
        <f>"644020240513232858177578"</f>
        <v>644020240513232858177578</v>
      </c>
      <c r="F2270" s="9"/>
    </row>
    <row r="2271" s="2" customFormat="1" ht="30" customHeight="1" spans="1:6">
      <c r="A2271" s="9">
        <v>2268</v>
      </c>
      <c r="B2271" s="10" t="s">
        <v>1230</v>
      </c>
      <c r="C2271" s="10" t="s">
        <v>1231</v>
      </c>
      <c r="D2271" s="10" t="s">
        <v>2251</v>
      </c>
      <c r="E2271" s="10" t="str">
        <f>"644020240515221818182387"</f>
        <v>644020240515221818182387</v>
      </c>
      <c r="F2271" s="9"/>
    </row>
    <row r="2272" s="2" customFormat="1" ht="30" customHeight="1" spans="1:6">
      <c r="A2272" s="9">
        <v>2269</v>
      </c>
      <c r="B2272" s="10" t="s">
        <v>1230</v>
      </c>
      <c r="C2272" s="10" t="s">
        <v>1231</v>
      </c>
      <c r="D2272" s="10" t="s">
        <v>2252</v>
      </c>
      <c r="E2272" s="10" t="str">
        <f>"644020240515221909182389"</f>
        <v>644020240515221909182389</v>
      </c>
      <c r="F2272" s="9"/>
    </row>
    <row r="2273" s="2" customFormat="1" ht="30" customHeight="1" spans="1:6">
      <c r="A2273" s="9">
        <v>2270</v>
      </c>
      <c r="B2273" s="10" t="s">
        <v>1230</v>
      </c>
      <c r="C2273" s="10" t="s">
        <v>1231</v>
      </c>
      <c r="D2273" s="10" t="s">
        <v>2253</v>
      </c>
      <c r="E2273" s="10" t="str">
        <f>"644020240513171201176150"</f>
        <v>644020240513171201176150</v>
      </c>
      <c r="F2273" s="9"/>
    </row>
    <row r="2274" s="2" customFormat="1" ht="30" customHeight="1" spans="1:6">
      <c r="A2274" s="9">
        <v>2271</v>
      </c>
      <c r="B2274" s="10" t="s">
        <v>1230</v>
      </c>
      <c r="C2274" s="10" t="s">
        <v>1231</v>
      </c>
      <c r="D2274" s="10" t="s">
        <v>2254</v>
      </c>
      <c r="E2274" s="10" t="str">
        <f>"644020240514144754179165"</f>
        <v>644020240514144754179165</v>
      </c>
      <c r="F2274" s="9"/>
    </row>
    <row r="2275" s="2" customFormat="1" ht="30" customHeight="1" spans="1:6">
      <c r="A2275" s="9">
        <v>2272</v>
      </c>
      <c r="B2275" s="10" t="s">
        <v>1230</v>
      </c>
      <c r="C2275" s="10" t="s">
        <v>1231</v>
      </c>
      <c r="D2275" s="10" t="s">
        <v>2255</v>
      </c>
      <c r="E2275" s="10" t="str">
        <f>"644020240515192603182170"</f>
        <v>644020240515192603182170</v>
      </c>
      <c r="F2275" s="9"/>
    </row>
    <row r="2276" s="2" customFormat="1" ht="30" customHeight="1" spans="1:6">
      <c r="A2276" s="9">
        <v>2273</v>
      </c>
      <c r="B2276" s="10" t="s">
        <v>1230</v>
      </c>
      <c r="C2276" s="10" t="s">
        <v>1231</v>
      </c>
      <c r="D2276" s="10" t="s">
        <v>2256</v>
      </c>
      <c r="E2276" s="10" t="str">
        <f>"644020240515224320182462"</f>
        <v>644020240515224320182462</v>
      </c>
      <c r="F2276" s="9"/>
    </row>
    <row r="2277" s="2" customFormat="1" ht="30" customHeight="1" spans="1:6">
      <c r="A2277" s="9">
        <v>2274</v>
      </c>
      <c r="B2277" s="10" t="s">
        <v>1230</v>
      </c>
      <c r="C2277" s="10" t="s">
        <v>1231</v>
      </c>
      <c r="D2277" s="10" t="s">
        <v>2257</v>
      </c>
      <c r="E2277" s="10" t="str">
        <f>"644020240515220415182344"</f>
        <v>644020240515220415182344</v>
      </c>
      <c r="F2277" s="9"/>
    </row>
    <row r="2278" s="2" customFormat="1" ht="30" customHeight="1" spans="1:6">
      <c r="A2278" s="9">
        <v>2275</v>
      </c>
      <c r="B2278" s="10" t="s">
        <v>1230</v>
      </c>
      <c r="C2278" s="10" t="s">
        <v>1231</v>
      </c>
      <c r="D2278" s="10" t="s">
        <v>2258</v>
      </c>
      <c r="E2278" s="10" t="str">
        <f>"644020240515224435182465"</f>
        <v>644020240515224435182465</v>
      </c>
      <c r="F2278" s="9"/>
    </row>
    <row r="2279" s="2" customFormat="1" ht="30" customHeight="1" spans="1:6">
      <c r="A2279" s="9">
        <v>2276</v>
      </c>
      <c r="B2279" s="10" t="s">
        <v>1230</v>
      </c>
      <c r="C2279" s="10" t="s">
        <v>1231</v>
      </c>
      <c r="D2279" s="10" t="s">
        <v>2259</v>
      </c>
      <c r="E2279" s="10" t="str">
        <f>"644020240515225624182501"</f>
        <v>644020240515225624182501</v>
      </c>
      <c r="F2279" s="9"/>
    </row>
    <row r="2280" s="2" customFormat="1" ht="30" customHeight="1" spans="1:6">
      <c r="A2280" s="9">
        <v>2277</v>
      </c>
      <c r="B2280" s="10" t="s">
        <v>1230</v>
      </c>
      <c r="C2280" s="10" t="s">
        <v>1231</v>
      </c>
      <c r="D2280" s="10" t="s">
        <v>2260</v>
      </c>
      <c r="E2280" s="10" t="str">
        <f>"644020240515225459182496"</f>
        <v>644020240515225459182496</v>
      </c>
      <c r="F2280" s="9"/>
    </row>
    <row r="2281" s="2" customFormat="1" ht="30" customHeight="1" spans="1:6">
      <c r="A2281" s="9">
        <v>2278</v>
      </c>
      <c r="B2281" s="10" t="s">
        <v>1230</v>
      </c>
      <c r="C2281" s="10" t="s">
        <v>1231</v>
      </c>
      <c r="D2281" s="10" t="s">
        <v>1766</v>
      </c>
      <c r="E2281" s="10" t="str">
        <f>"644020240514214241180231"</f>
        <v>644020240514214241180231</v>
      </c>
      <c r="F2281" s="9"/>
    </row>
    <row r="2282" s="2" customFormat="1" ht="30" customHeight="1" spans="1:6">
      <c r="A2282" s="9">
        <v>2279</v>
      </c>
      <c r="B2282" s="10" t="s">
        <v>1230</v>
      </c>
      <c r="C2282" s="10" t="s">
        <v>1231</v>
      </c>
      <c r="D2282" s="10" t="s">
        <v>2261</v>
      </c>
      <c r="E2282" s="10" t="str">
        <f>"644020240515223857182452"</f>
        <v>644020240515223857182452</v>
      </c>
      <c r="F2282" s="9"/>
    </row>
    <row r="2283" s="2" customFormat="1" ht="30" customHeight="1" spans="1:6">
      <c r="A2283" s="9">
        <v>2280</v>
      </c>
      <c r="B2283" s="10" t="s">
        <v>1230</v>
      </c>
      <c r="C2283" s="10" t="s">
        <v>1231</v>
      </c>
      <c r="D2283" s="10" t="s">
        <v>2262</v>
      </c>
      <c r="E2283" s="10" t="str">
        <f>"644020240515230623182522"</f>
        <v>644020240515230623182522</v>
      </c>
      <c r="F2283" s="9"/>
    </row>
    <row r="2284" s="2" customFormat="1" ht="30" customHeight="1" spans="1:6">
      <c r="A2284" s="9">
        <v>2281</v>
      </c>
      <c r="B2284" s="10" t="s">
        <v>1230</v>
      </c>
      <c r="C2284" s="10" t="s">
        <v>1231</v>
      </c>
      <c r="D2284" s="10" t="s">
        <v>2263</v>
      </c>
      <c r="E2284" s="10" t="str">
        <f>"644020240515221901182388"</f>
        <v>644020240515221901182388</v>
      </c>
      <c r="F2284" s="9"/>
    </row>
    <row r="2285" s="2" customFormat="1" ht="30" customHeight="1" spans="1:6">
      <c r="A2285" s="9">
        <v>2282</v>
      </c>
      <c r="B2285" s="10" t="s">
        <v>1230</v>
      </c>
      <c r="C2285" s="10" t="s">
        <v>1231</v>
      </c>
      <c r="D2285" s="10" t="s">
        <v>2264</v>
      </c>
      <c r="E2285" s="10" t="str">
        <f>"644020240512234238171867"</f>
        <v>644020240512234238171867</v>
      </c>
      <c r="F2285" s="9"/>
    </row>
    <row r="2286" s="2" customFormat="1" ht="30" customHeight="1" spans="1:6">
      <c r="A2286" s="9">
        <v>2283</v>
      </c>
      <c r="B2286" s="10" t="s">
        <v>1230</v>
      </c>
      <c r="C2286" s="10" t="s">
        <v>1231</v>
      </c>
      <c r="D2286" s="10" t="s">
        <v>2265</v>
      </c>
      <c r="E2286" s="10" t="str">
        <f>"644020240515225236182485"</f>
        <v>644020240515225236182485</v>
      </c>
      <c r="F2286" s="9"/>
    </row>
    <row r="2287" s="2" customFormat="1" ht="30" customHeight="1" spans="1:6">
      <c r="A2287" s="9">
        <v>2284</v>
      </c>
      <c r="B2287" s="10" t="s">
        <v>1230</v>
      </c>
      <c r="C2287" s="10" t="s">
        <v>1231</v>
      </c>
      <c r="D2287" s="10" t="s">
        <v>2266</v>
      </c>
      <c r="E2287" s="10" t="str">
        <f>"644020240515225213182480"</f>
        <v>644020240515225213182480</v>
      </c>
      <c r="F2287" s="9"/>
    </row>
    <row r="2288" s="2" customFormat="1" ht="30" customHeight="1" spans="1:6">
      <c r="A2288" s="9">
        <v>2285</v>
      </c>
      <c r="B2288" s="10" t="s">
        <v>1230</v>
      </c>
      <c r="C2288" s="10" t="s">
        <v>1231</v>
      </c>
      <c r="D2288" s="10" t="s">
        <v>2267</v>
      </c>
      <c r="E2288" s="10" t="str">
        <f>"644020240515225332182486"</f>
        <v>644020240515225332182486</v>
      </c>
      <c r="F2288" s="9"/>
    </row>
    <row r="2289" s="2" customFormat="1" ht="30" customHeight="1" spans="1:6">
      <c r="A2289" s="9">
        <v>2286</v>
      </c>
      <c r="B2289" s="10" t="s">
        <v>1230</v>
      </c>
      <c r="C2289" s="10" t="s">
        <v>1231</v>
      </c>
      <c r="D2289" s="10" t="s">
        <v>2268</v>
      </c>
      <c r="E2289" s="10" t="str">
        <f>"644020240515230933182529"</f>
        <v>644020240515230933182529</v>
      </c>
      <c r="F2289" s="9"/>
    </row>
    <row r="2290" s="2" customFormat="1" ht="30" customHeight="1" spans="1:6">
      <c r="A2290" s="9">
        <v>2287</v>
      </c>
      <c r="B2290" s="10" t="s">
        <v>1230</v>
      </c>
      <c r="C2290" s="10" t="s">
        <v>1231</v>
      </c>
      <c r="D2290" s="10" t="s">
        <v>2269</v>
      </c>
      <c r="E2290" s="10" t="str">
        <f>"644020240515230107182512"</f>
        <v>644020240515230107182512</v>
      </c>
      <c r="F2290" s="9"/>
    </row>
    <row r="2291" s="2" customFormat="1" ht="30" customHeight="1" spans="1:6">
      <c r="A2291" s="9">
        <v>2288</v>
      </c>
      <c r="B2291" s="10" t="s">
        <v>1230</v>
      </c>
      <c r="C2291" s="10" t="s">
        <v>1231</v>
      </c>
      <c r="D2291" s="10" t="s">
        <v>2270</v>
      </c>
      <c r="E2291" s="10" t="str">
        <f>"644020240514003847177689"</f>
        <v>644020240514003847177689</v>
      </c>
      <c r="F2291" s="9"/>
    </row>
    <row r="2292" s="2" customFormat="1" ht="30" customHeight="1" spans="1:6">
      <c r="A2292" s="9">
        <v>2289</v>
      </c>
      <c r="B2292" s="10" t="s">
        <v>1230</v>
      </c>
      <c r="C2292" s="10" t="s">
        <v>1231</v>
      </c>
      <c r="D2292" s="10" t="s">
        <v>2271</v>
      </c>
      <c r="E2292" s="10" t="str">
        <f>"644020240512224840171601"</f>
        <v>644020240512224840171601</v>
      </c>
      <c r="F2292" s="9"/>
    </row>
    <row r="2293" s="2" customFormat="1" ht="30" customHeight="1" spans="1:6">
      <c r="A2293" s="9">
        <v>2290</v>
      </c>
      <c r="B2293" s="10" t="s">
        <v>1230</v>
      </c>
      <c r="C2293" s="10" t="s">
        <v>1231</v>
      </c>
      <c r="D2293" s="10" t="s">
        <v>2272</v>
      </c>
      <c r="E2293" s="10" t="str">
        <f>"644020240513122947174294"</f>
        <v>644020240513122947174294</v>
      </c>
      <c r="F2293" s="9"/>
    </row>
    <row r="2294" s="2" customFormat="1" ht="30" customHeight="1" spans="1:6">
      <c r="A2294" s="9">
        <v>2291</v>
      </c>
      <c r="B2294" s="10" t="s">
        <v>1230</v>
      </c>
      <c r="C2294" s="10" t="s">
        <v>1231</v>
      </c>
      <c r="D2294" s="10" t="s">
        <v>2273</v>
      </c>
      <c r="E2294" s="10" t="str">
        <f>"644020240515225219182482"</f>
        <v>644020240515225219182482</v>
      </c>
      <c r="F2294" s="9"/>
    </row>
    <row r="2295" s="2" customFormat="1" ht="30" customHeight="1" spans="1:6">
      <c r="A2295" s="9">
        <v>2292</v>
      </c>
      <c r="B2295" s="10" t="s">
        <v>1230</v>
      </c>
      <c r="C2295" s="10" t="s">
        <v>1231</v>
      </c>
      <c r="D2295" s="10" t="s">
        <v>2274</v>
      </c>
      <c r="E2295" s="10" t="str">
        <f>"644020240515232242182554"</f>
        <v>644020240515232242182554</v>
      </c>
      <c r="F2295" s="9"/>
    </row>
    <row r="2296" s="2" customFormat="1" ht="30" customHeight="1" spans="1:6">
      <c r="A2296" s="9">
        <v>2293</v>
      </c>
      <c r="B2296" s="10" t="s">
        <v>1230</v>
      </c>
      <c r="C2296" s="10" t="s">
        <v>1231</v>
      </c>
      <c r="D2296" s="10" t="s">
        <v>2275</v>
      </c>
      <c r="E2296" s="10" t="str">
        <f>"644020240515232448182561"</f>
        <v>644020240515232448182561</v>
      </c>
      <c r="F2296" s="9"/>
    </row>
    <row r="2297" s="2" customFormat="1" ht="30" customHeight="1" spans="1:6">
      <c r="A2297" s="9">
        <v>2294</v>
      </c>
      <c r="B2297" s="10" t="s">
        <v>1230</v>
      </c>
      <c r="C2297" s="10" t="s">
        <v>1231</v>
      </c>
      <c r="D2297" s="10" t="s">
        <v>2276</v>
      </c>
      <c r="E2297" s="10" t="str">
        <f>"644020240515231713182543"</f>
        <v>644020240515231713182543</v>
      </c>
      <c r="F2297" s="9"/>
    </row>
    <row r="2298" s="2" customFormat="1" ht="30" customHeight="1" spans="1:6">
      <c r="A2298" s="9">
        <v>2295</v>
      </c>
      <c r="B2298" s="10" t="s">
        <v>1230</v>
      </c>
      <c r="C2298" s="10" t="s">
        <v>1231</v>
      </c>
      <c r="D2298" s="10" t="s">
        <v>2277</v>
      </c>
      <c r="E2298" s="10" t="str">
        <f>"644020240515232156182552"</f>
        <v>644020240515232156182552</v>
      </c>
      <c r="F2298" s="9"/>
    </row>
    <row r="2299" s="2" customFormat="1" ht="30" customHeight="1" spans="1:6">
      <c r="A2299" s="9">
        <v>2296</v>
      </c>
      <c r="B2299" s="10" t="s">
        <v>1230</v>
      </c>
      <c r="C2299" s="10" t="s">
        <v>1231</v>
      </c>
      <c r="D2299" s="10" t="s">
        <v>2278</v>
      </c>
      <c r="E2299" s="10" t="str">
        <f>"644020240515001236180580"</f>
        <v>644020240515001236180580</v>
      </c>
      <c r="F2299" s="9"/>
    </row>
    <row r="2300" s="2" customFormat="1" ht="30" customHeight="1" spans="1:6">
      <c r="A2300" s="9">
        <v>2297</v>
      </c>
      <c r="B2300" s="10" t="s">
        <v>1230</v>
      </c>
      <c r="C2300" s="10" t="s">
        <v>1231</v>
      </c>
      <c r="D2300" s="10" t="s">
        <v>2279</v>
      </c>
      <c r="E2300" s="10" t="str">
        <f>"644020240515234057182598"</f>
        <v>644020240515234057182598</v>
      </c>
      <c r="F2300" s="9"/>
    </row>
    <row r="2301" s="2" customFormat="1" ht="30" customHeight="1" spans="1:6">
      <c r="A2301" s="9">
        <v>2298</v>
      </c>
      <c r="B2301" s="10" t="s">
        <v>1230</v>
      </c>
      <c r="C2301" s="10" t="s">
        <v>1231</v>
      </c>
      <c r="D2301" s="10" t="s">
        <v>2280</v>
      </c>
      <c r="E2301" s="10" t="str">
        <f>"644020240515235214182614"</f>
        <v>644020240515235214182614</v>
      </c>
      <c r="F2301" s="9"/>
    </row>
    <row r="2302" s="2" customFormat="1" ht="30" customHeight="1" spans="1:6">
      <c r="A2302" s="9">
        <v>2299</v>
      </c>
      <c r="B2302" s="10" t="s">
        <v>1230</v>
      </c>
      <c r="C2302" s="10" t="s">
        <v>1231</v>
      </c>
      <c r="D2302" s="10" t="s">
        <v>2281</v>
      </c>
      <c r="E2302" s="10" t="str">
        <f>"644020240515235032182611"</f>
        <v>644020240515235032182611</v>
      </c>
      <c r="F2302" s="9"/>
    </row>
    <row r="2303" s="2" customFormat="1" ht="30" customHeight="1" spans="1:6">
      <c r="A2303" s="9">
        <v>2300</v>
      </c>
      <c r="B2303" s="10" t="s">
        <v>1230</v>
      </c>
      <c r="C2303" s="10" t="s">
        <v>1231</v>
      </c>
      <c r="D2303" s="10" t="s">
        <v>2282</v>
      </c>
      <c r="E2303" s="10" t="str">
        <f>"644020240515233908182594"</f>
        <v>644020240515233908182594</v>
      </c>
      <c r="F2303" s="9"/>
    </row>
    <row r="2304" s="2" customFormat="1" ht="30" customHeight="1" spans="1:6">
      <c r="A2304" s="9">
        <v>2301</v>
      </c>
      <c r="B2304" s="10" t="s">
        <v>1230</v>
      </c>
      <c r="C2304" s="10" t="s">
        <v>1231</v>
      </c>
      <c r="D2304" s="10" t="s">
        <v>2283</v>
      </c>
      <c r="E2304" s="10" t="str">
        <f>"644020240516001408182647"</f>
        <v>644020240516001408182647</v>
      </c>
      <c r="F2304" s="9"/>
    </row>
    <row r="2305" s="2" customFormat="1" ht="30" customHeight="1" spans="1:6">
      <c r="A2305" s="9">
        <v>2302</v>
      </c>
      <c r="B2305" s="10" t="s">
        <v>1230</v>
      </c>
      <c r="C2305" s="10" t="s">
        <v>1231</v>
      </c>
      <c r="D2305" s="10" t="s">
        <v>2284</v>
      </c>
      <c r="E2305" s="10" t="str">
        <f>"644020240516001113182642"</f>
        <v>644020240516001113182642</v>
      </c>
      <c r="F2305" s="9"/>
    </row>
    <row r="2306" s="2" customFormat="1" ht="30" customHeight="1" spans="1:6">
      <c r="A2306" s="9">
        <v>2303</v>
      </c>
      <c r="B2306" s="10" t="s">
        <v>1230</v>
      </c>
      <c r="C2306" s="10" t="s">
        <v>1231</v>
      </c>
      <c r="D2306" s="10" t="s">
        <v>2285</v>
      </c>
      <c r="E2306" s="10" t="str">
        <f>"644020240516001106182641"</f>
        <v>644020240516001106182641</v>
      </c>
      <c r="F2306" s="9"/>
    </row>
    <row r="2307" s="2" customFormat="1" ht="30" customHeight="1" spans="1:6">
      <c r="A2307" s="9">
        <v>2304</v>
      </c>
      <c r="B2307" s="10" t="s">
        <v>1230</v>
      </c>
      <c r="C2307" s="10" t="s">
        <v>1231</v>
      </c>
      <c r="D2307" s="10" t="s">
        <v>2286</v>
      </c>
      <c r="E2307" s="10" t="str">
        <f>"644020240515103830181079"</f>
        <v>644020240515103830181079</v>
      </c>
      <c r="F2307" s="9"/>
    </row>
    <row r="2308" s="2" customFormat="1" ht="30" customHeight="1" spans="1:6">
      <c r="A2308" s="9">
        <v>2305</v>
      </c>
      <c r="B2308" s="10" t="s">
        <v>1230</v>
      </c>
      <c r="C2308" s="10" t="s">
        <v>1231</v>
      </c>
      <c r="D2308" s="10" t="s">
        <v>2287</v>
      </c>
      <c r="E2308" s="10" t="str">
        <f>"644020240516005414182671"</f>
        <v>644020240516005414182671</v>
      </c>
      <c r="F2308" s="9"/>
    </row>
    <row r="2309" s="2" customFormat="1" ht="30" customHeight="1" spans="1:6">
      <c r="A2309" s="9">
        <v>2306</v>
      </c>
      <c r="B2309" s="10" t="s">
        <v>1230</v>
      </c>
      <c r="C2309" s="10" t="s">
        <v>1231</v>
      </c>
      <c r="D2309" s="10" t="s">
        <v>2288</v>
      </c>
      <c r="E2309" s="10" t="str">
        <f>"644020240516013030182689"</f>
        <v>644020240516013030182689</v>
      </c>
      <c r="F2309" s="9"/>
    </row>
    <row r="2310" s="2" customFormat="1" ht="30" customHeight="1" spans="1:6">
      <c r="A2310" s="9">
        <v>2307</v>
      </c>
      <c r="B2310" s="10" t="s">
        <v>1230</v>
      </c>
      <c r="C2310" s="10" t="s">
        <v>1231</v>
      </c>
      <c r="D2310" s="10" t="s">
        <v>2289</v>
      </c>
      <c r="E2310" s="10" t="str">
        <f>"644020240516061208182711"</f>
        <v>644020240516061208182711</v>
      </c>
      <c r="F2310" s="9"/>
    </row>
    <row r="2311" s="2" customFormat="1" ht="30" customHeight="1" spans="1:6">
      <c r="A2311" s="9">
        <v>2308</v>
      </c>
      <c r="B2311" s="10" t="s">
        <v>1230</v>
      </c>
      <c r="C2311" s="10" t="s">
        <v>1231</v>
      </c>
      <c r="D2311" s="10" t="s">
        <v>2290</v>
      </c>
      <c r="E2311" s="10" t="str">
        <f>"644020240515145712181611"</f>
        <v>644020240515145712181611</v>
      </c>
      <c r="F2311" s="9"/>
    </row>
    <row r="2312" s="2" customFormat="1" ht="30" customHeight="1" spans="1:6">
      <c r="A2312" s="9">
        <v>2309</v>
      </c>
      <c r="B2312" s="10" t="s">
        <v>1230</v>
      </c>
      <c r="C2312" s="10" t="s">
        <v>1231</v>
      </c>
      <c r="D2312" s="10" t="s">
        <v>2291</v>
      </c>
      <c r="E2312" s="10" t="str">
        <f>"644020240513084942172412"</f>
        <v>644020240513084942172412</v>
      </c>
      <c r="F2312" s="9"/>
    </row>
    <row r="2313" s="2" customFormat="1" ht="30" customHeight="1" spans="1:6">
      <c r="A2313" s="9">
        <v>2310</v>
      </c>
      <c r="B2313" s="10" t="s">
        <v>1230</v>
      </c>
      <c r="C2313" s="10" t="s">
        <v>1231</v>
      </c>
      <c r="D2313" s="10" t="s">
        <v>2292</v>
      </c>
      <c r="E2313" s="10" t="str">
        <f>"644020240516075547182730"</f>
        <v>644020240516075547182730</v>
      </c>
      <c r="F2313" s="9"/>
    </row>
    <row r="2314" s="2" customFormat="1" ht="30" customHeight="1" spans="1:6">
      <c r="A2314" s="9">
        <v>2311</v>
      </c>
      <c r="B2314" s="10" t="s">
        <v>1230</v>
      </c>
      <c r="C2314" s="10" t="s">
        <v>1231</v>
      </c>
      <c r="D2314" s="10" t="s">
        <v>2293</v>
      </c>
      <c r="E2314" s="10" t="str">
        <f>"644020240516081431182751"</f>
        <v>644020240516081431182751</v>
      </c>
      <c r="F2314" s="9"/>
    </row>
    <row r="2315" s="2" customFormat="1" ht="30" customHeight="1" spans="1:6">
      <c r="A2315" s="9">
        <v>2312</v>
      </c>
      <c r="B2315" s="10" t="s">
        <v>1230</v>
      </c>
      <c r="C2315" s="10" t="s">
        <v>1231</v>
      </c>
      <c r="D2315" s="10" t="s">
        <v>2294</v>
      </c>
      <c r="E2315" s="10" t="str">
        <f>"644020240516080755182743"</f>
        <v>644020240516080755182743</v>
      </c>
      <c r="F2315" s="9"/>
    </row>
    <row r="2316" s="2" customFormat="1" ht="30" customHeight="1" spans="1:6">
      <c r="A2316" s="9">
        <v>2313</v>
      </c>
      <c r="B2316" s="10" t="s">
        <v>1230</v>
      </c>
      <c r="C2316" s="10" t="s">
        <v>1231</v>
      </c>
      <c r="D2316" s="10" t="s">
        <v>2295</v>
      </c>
      <c r="E2316" s="10" t="str">
        <f>"644020240514201139180002"</f>
        <v>644020240514201139180002</v>
      </c>
      <c r="F2316" s="9"/>
    </row>
    <row r="2317" s="2" customFormat="1" ht="30" customHeight="1" spans="1:6">
      <c r="A2317" s="9">
        <v>2314</v>
      </c>
      <c r="B2317" s="10" t="s">
        <v>1230</v>
      </c>
      <c r="C2317" s="10" t="s">
        <v>1231</v>
      </c>
      <c r="D2317" s="10" t="s">
        <v>2296</v>
      </c>
      <c r="E2317" s="10" t="str">
        <f>"644020240515223045182425"</f>
        <v>644020240515223045182425</v>
      </c>
      <c r="F2317" s="9"/>
    </row>
    <row r="2318" s="2" customFormat="1" ht="30" customHeight="1" spans="1:6">
      <c r="A2318" s="9">
        <v>2315</v>
      </c>
      <c r="B2318" s="10" t="s">
        <v>1230</v>
      </c>
      <c r="C2318" s="10" t="s">
        <v>1231</v>
      </c>
      <c r="D2318" s="10" t="s">
        <v>2297</v>
      </c>
      <c r="E2318" s="10" t="str">
        <f>"644020240516084619182794"</f>
        <v>644020240516084619182794</v>
      </c>
      <c r="F2318" s="9"/>
    </row>
    <row r="2319" s="2" customFormat="1" ht="30" customHeight="1" spans="1:6">
      <c r="A2319" s="9">
        <v>2316</v>
      </c>
      <c r="B2319" s="10" t="s">
        <v>1230</v>
      </c>
      <c r="C2319" s="10" t="s">
        <v>1231</v>
      </c>
      <c r="D2319" s="10" t="s">
        <v>2298</v>
      </c>
      <c r="E2319" s="10" t="str">
        <f>"644020240516082631182766"</f>
        <v>644020240516082631182766</v>
      </c>
      <c r="F2319" s="9"/>
    </row>
    <row r="2320" s="2" customFormat="1" ht="30" customHeight="1" spans="1:6">
      <c r="A2320" s="9">
        <v>2317</v>
      </c>
      <c r="B2320" s="10" t="s">
        <v>1230</v>
      </c>
      <c r="C2320" s="10" t="s">
        <v>1231</v>
      </c>
      <c r="D2320" s="10" t="s">
        <v>2299</v>
      </c>
      <c r="E2320" s="10" t="str">
        <f>"644020240514164833179563"</f>
        <v>644020240514164833179563</v>
      </c>
      <c r="F2320" s="9"/>
    </row>
    <row r="2321" s="2" customFormat="1" ht="30" customHeight="1" spans="1:6">
      <c r="A2321" s="9">
        <v>2318</v>
      </c>
      <c r="B2321" s="10" t="s">
        <v>1230</v>
      </c>
      <c r="C2321" s="10" t="s">
        <v>1231</v>
      </c>
      <c r="D2321" s="10" t="s">
        <v>2300</v>
      </c>
      <c r="E2321" s="10" t="str">
        <f>"644020240516090926182825"</f>
        <v>644020240516090926182825</v>
      </c>
      <c r="F2321" s="9"/>
    </row>
    <row r="2322" s="2" customFormat="1" ht="30" customHeight="1" spans="1:6">
      <c r="A2322" s="9">
        <v>2319</v>
      </c>
      <c r="B2322" s="10" t="s">
        <v>1230</v>
      </c>
      <c r="C2322" s="10" t="s">
        <v>1231</v>
      </c>
      <c r="D2322" s="10" t="s">
        <v>2301</v>
      </c>
      <c r="E2322" s="10" t="str">
        <f>"644020240516091724182846"</f>
        <v>644020240516091724182846</v>
      </c>
      <c r="F2322" s="9"/>
    </row>
    <row r="2323" s="2" customFormat="1" ht="30" customHeight="1" spans="1:6">
      <c r="A2323" s="9">
        <v>2320</v>
      </c>
      <c r="B2323" s="10" t="s">
        <v>1230</v>
      </c>
      <c r="C2323" s="10" t="s">
        <v>1231</v>
      </c>
      <c r="D2323" s="10" t="s">
        <v>2302</v>
      </c>
      <c r="E2323" s="10" t="str">
        <f>"644020240516091727182847"</f>
        <v>644020240516091727182847</v>
      </c>
      <c r="F2323" s="9"/>
    </row>
    <row r="2324" s="2" customFormat="1" ht="30" customHeight="1" spans="1:6">
      <c r="A2324" s="9">
        <v>2321</v>
      </c>
      <c r="B2324" s="10" t="s">
        <v>1230</v>
      </c>
      <c r="C2324" s="10" t="s">
        <v>1231</v>
      </c>
      <c r="D2324" s="10" t="s">
        <v>2303</v>
      </c>
      <c r="E2324" s="10" t="str">
        <f>"644020240515155845181774"</f>
        <v>644020240515155845181774</v>
      </c>
      <c r="F2324" s="9"/>
    </row>
    <row r="2325" s="2" customFormat="1" ht="30" customHeight="1" spans="1:6">
      <c r="A2325" s="9">
        <v>2322</v>
      </c>
      <c r="B2325" s="10" t="s">
        <v>1230</v>
      </c>
      <c r="C2325" s="10" t="s">
        <v>1231</v>
      </c>
      <c r="D2325" s="10" t="s">
        <v>2304</v>
      </c>
      <c r="E2325" s="10" t="str">
        <f>"644020240516092721182869"</f>
        <v>644020240516092721182869</v>
      </c>
      <c r="F2325" s="9"/>
    </row>
    <row r="2326" s="2" customFormat="1" ht="30" customHeight="1" spans="1:6">
      <c r="A2326" s="9">
        <v>2323</v>
      </c>
      <c r="B2326" s="10" t="s">
        <v>1230</v>
      </c>
      <c r="C2326" s="10" t="s">
        <v>1231</v>
      </c>
      <c r="D2326" s="10" t="s">
        <v>2305</v>
      </c>
      <c r="E2326" s="10" t="str">
        <f>"644020240516093236182881"</f>
        <v>644020240516093236182881</v>
      </c>
      <c r="F2326" s="9"/>
    </row>
    <row r="2327" s="2" customFormat="1" ht="30" customHeight="1" spans="1:6">
      <c r="A2327" s="9">
        <v>2324</v>
      </c>
      <c r="B2327" s="10" t="s">
        <v>1230</v>
      </c>
      <c r="C2327" s="10" t="s">
        <v>1231</v>
      </c>
      <c r="D2327" s="10" t="s">
        <v>2306</v>
      </c>
      <c r="E2327" s="10" t="str">
        <f>"644020240512172726170203"</f>
        <v>644020240512172726170203</v>
      </c>
      <c r="F2327" s="9"/>
    </row>
    <row r="2328" s="2" customFormat="1" ht="30" customHeight="1" spans="1:6">
      <c r="A2328" s="9">
        <v>2325</v>
      </c>
      <c r="B2328" s="10" t="s">
        <v>1230</v>
      </c>
      <c r="C2328" s="10" t="s">
        <v>1231</v>
      </c>
      <c r="D2328" s="10" t="s">
        <v>2307</v>
      </c>
      <c r="E2328" s="10" t="str">
        <f>"644020240516091248182832"</f>
        <v>644020240516091248182832</v>
      </c>
      <c r="F2328" s="9"/>
    </row>
    <row r="2329" s="2" customFormat="1" ht="30" customHeight="1" spans="1:6">
      <c r="A2329" s="9">
        <v>2326</v>
      </c>
      <c r="B2329" s="10" t="s">
        <v>1230</v>
      </c>
      <c r="C2329" s="10" t="s">
        <v>1231</v>
      </c>
      <c r="D2329" s="10" t="s">
        <v>2308</v>
      </c>
      <c r="E2329" s="10" t="str">
        <f>"644020240516093006182878"</f>
        <v>644020240516093006182878</v>
      </c>
      <c r="F2329" s="9"/>
    </row>
    <row r="2330" s="2" customFormat="1" ht="30" customHeight="1" spans="1:6">
      <c r="A2330" s="9">
        <v>2327</v>
      </c>
      <c r="B2330" s="10" t="s">
        <v>1230</v>
      </c>
      <c r="C2330" s="10" t="s">
        <v>1231</v>
      </c>
      <c r="D2330" s="10" t="s">
        <v>2309</v>
      </c>
      <c r="E2330" s="10" t="str">
        <f>"644020240515165417181937"</f>
        <v>644020240515165417181937</v>
      </c>
      <c r="F2330" s="9"/>
    </row>
    <row r="2331" s="2" customFormat="1" ht="30" customHeight="1" spans="1:6">
      <c r="A2331" s="9">
        <v>2328</v>
      </c>
      <c r="B2331" s="10" t="s">
        <v>1230</v>
      </c>
      <c r="C2331" s="10" t="s">
        <v>1231</v>
      </c>
      <c r="D2331" s="10" t="s">
        <v>2310</v>
      </c>
      <c r="E2331" s="10" t="str">
        <f>"644020240516093816182898"</f>
        <v>644020240516093816182898</v>
      </c>
      <c r="F2331" s="9"/>
    </row>
    <row r="2332" s="2" customFormat="1" ht="30" customHeight="1" spans="1:6">
      <c r="A2332" s="9">
        <v>2329</v>
      </c>
      <c r="B2332" s="10" t="s">
        <v>1230</v>
      </c>
      <c r="C2332" s="10" t="s">
        <v>1231</v>
      </c>
      <c r="D2332" s="10" t="s">
        <v>2311</v>
      </c>
      <c r="E2332" s="10" t="str">
        <f>"644020240514142730179127"</f>
        <v>644020240514142730179127</v>
      </c>
      <c r="F2332" s="9"/>
    </row>
    <row r="2333" s="2" customFormat="1" ht="30" customHeight="1" spans="1:6">
      <c r="A2333" s="9">
        <v>2330</v>
      </c>
      <c r="B2333" s="10" t="s">
        <v>1230</v>
      </c>
      <c r="C2333" s="10" t="s">
        <v>1231</v>
      </c>
      <c r="D2333" s="10" t="s">
        <v>2312</v>
      </c>
      <c r="E2333" s="10" t="str">
        <f>"644020240516093922182901"</f>
        <v>644020240516093922182901</v>
      </c>
      <c r="F2333" s="9"/>
    </row>
    <row r="2334" s="2" customFormat="1" ht="30" customHeight="1" spans="1:6">
      <c r="A2334" s="9">
        <v>2331</v>
      </c>
      <c r="B2334" s="10" t="s">
        <v>1230</v>
      </c>
      <c r="C2334" s="10" t="s">
        <v>1231</v>
      </c>
      <c r="D2334" s="10" t="s">
        <v>2313</v>
      </c>
      <c r="E2334" s="10" t="str">
        <f>"644020240515093954180881"</f>
        <v>644020240515093954180881</v>
      </c>
      <c r="F2334" s="9"/>
    </row>
    <row r="2335" s="2" customFormat="1" ht="30" customHeight="1" spans="1:6">
      <c r="A2335" s="9">
        <v>2332</v>
      </c>
      <c r="B2335" s="10" t="s">
        <v>1230</v>
      </c>
      <c r="C2335" s="10" t="s">
        <v>1231</v>
      </c>
      <c r="D2335" s="10" t="s">
        <v>2314</v>
      </c>
      <c r="E2335" s="10" t="str">
        <f>"644020240513105433173637"</f>
        <v>644020240513105433173637</v>
      </c>
      <c r="F2335" s="9"/>
    </row>
    <row r="2336" s="2" customFormat="1" ht="30" customHeight="1" spans="1:6">
      <c r="A2336" s="9">
        <v>2333</v>
      </c>
      <c r="B2336" s="10" t="s">
        <v>1230</v>
      </c>
      <c r="C2336" s="10" t="s">
        <v>1231</v>
      </c>
      <c r="D2336" s="10" t="s">
        <v>2315</v>
      </c>
      <c r="E2336" s="10" t="str">
        <f>"644020240516094602182910"</f>
        <v>644020240516094602182910</v>
      </c>
      <c r="F2336" s="9"/>
    </row>
    <row r="2337" s="2" customFormat="1" ht="30" customHeight="1" spans="1:6">
      <c r="A2337" s="9">
        <v>2334</v>
      </c>
      <c r="B2337" s="10" t="s">
        <v>1230</v>
      </c>
      <c r="C2337" s="10" t="s">
        <v>1231</v>
      </c>
      <c r="D2337" s="10" t="s">
        <v>2316</v>
      </c>
      <c r="E2337" s="10" t="str">
        <f>"644020240516091654182843"</f>
        <v>644020240516091654182843</v>
      </c>
      <c r="F2337" s="9"/>
    </row>
    <row r="2338" s="2" customFormat="1" ht="30" customHeight="1" spans="1:6">
      <c r="A2338" s="9">
        <v>2335</v>
      </c>
      <c r="B2338" s="10" t="s">
        <v>1230</v>
      </c>
      <c r="C2338" s="10" t="s">
        <v>1231</v>
      </c>
      <c r="D2338" s="10" t="s">
        <v>2317</v>
      </c>
      <c r="E2338" s="10" t="str">
        <f>"644020240515202257182250"</f>
        <v>644020240515202257182250</v>
      </c>
      <c r="F2338" s="9"/>
    </row>
    <row r="2339" s="2" customFormat="1" ht="30" customHeight="1" spans="1:6">
      <c r="A2339" s="9">
        <v>2336</v>
      </c>
      <c r="B2339" s="10" t="s">
        <v>1230</v>
      </c>
      <c r="C2339" s="10" t="s">
        <v>1231</v>
      </c>
      <c r="D2339" s="10" t="s">
        <v>2318</v>
      </c>
      <c r="E2339" s="10" t="str">
        <f>"644020240514153216179309"</f>
        <v>644020240514153216179309</v>
      </c>
      <c r="F2339" s="9"/>
    </row>
    <row r="2340" s="2" customFormat="1" ht="30" customHeight="1" spans="1:6">
      <c r="A2340" s="9">
        <v>2337</v>
      </c>
      <c r="B2340" s="10" t="s">
        <v>1230</v>
      </c>
      <c r="C2340" s="10" t="s">
        <v>1231</v>
      </c>
      <c r="D2340" s="10" t="s">
        <v>2319</v>
      </c>
      <c r="E2340" s="10" t="str">
        <f>"644020240516101734182994"</f>
        <v>644020240516101734182994</v>
      </c>
      <c r="F2340" s="9"/>
    </row>
    <row r="2341" s="2" customFormat="1" ht="30" customHeight="1" spans="1:6">
      <c r="A2341" s="9">
        <v>2338</v>
      </c>
      <c r="B2341" s="10" t="s">
        <v>1230</v>
      </c>
      <c r="C2341" s="10" t="s">
        <v>1231</v>
      </c>
      <c r="D2341" s="10" t="s">
        <v>2320</v>
      </c>
      <c r="E2341" s="10" t="str">
        <f>"644020240516103152183034"</f>
        <v>644020240516103152183034</v>
      </c>
      <c r="F2341" s="9"/>
    </row>
    <row r="2342" s="2" customFormat="1" ht="30" customHeight="1" spans="1:6">
      <c r="A2342" s="9">
        <v>2339</v>
      </c>
      <c r="B2342" s="10" t="s">
        <v>1230</v>
      </c>
      <c r="C2342" s="10" t="s">
        <v>1231</v>
      </c>
      <c r="D2342" s="10" t="s">
        <v>2321</v>
      </c>
      <c r="E2342" s="10" t="str">
        <f>"644020240512120421169029"</f>
        <v>644020240512120421169029</v>
      </c>
      <c r="F2342" s="9"/>
    </row>
    <row r="2343" s="2" customFormat="1" ht="30" customHeight="1" spans="1:6">
      <c r="A2343" s="9">
        <v>2340</v>
      </c>
      <c r="B2343" s="10" t="s">
        <v>1230</v>
      </c>
      <c r="C2343" s="10" t="s">
        <v>1231</v>
      </c>
      <c r="D2343" s="10" t="s">
        <v>2322</v>
      </c>
      <c r="E2343" s="10" t="str">
        <f>"644020240516101830182999"</f>
        <v>644020240516101830182999</v>
      </c>
      <c r="F2343" s="9"/>
    </row>
    <row r="2344" s="2" customFormat="1" ht="30" customHeight="1" spans="1:6">
      <c r="A2344" s="9">
        <v>2341</v>
      </c>
      <c r="B2344" s="10" t="s">
        <v>1230</v>
      </c>
      <c r="C2344" s="10" t="s">
        <v>1231</v>
      </c>
      <c r="D2344" s="10" t="s">
        <v>2323</v>
      </c>
      <c r="E2344" s="10" t="str">
        <f>"644020240516100006182953"</f>
        <v>644020240516100006182953</v>
      </c>
      <c r="F2344" s="9"/>
    </row>
    <row r="2345" s="2" customFormat="1" ht="30" customHeight="1" spans="1:6">
      <c r="A2345" s="9">
        <v>2342</v>
      </c>
      <c r="B2345" s="10" t="s">
        <v>1230</v>
      </c>
      <c r="C2345" s="10" t="s">
        <v>1231</v>
      </c>
      <c r="D2345" s="10" t="s">
        <v>2324</v>
      </c>
      <c r="E2345" s="10" t="str">
        <f>"644020240516104558183060"</f>
        <v>644020240516104558183060</v>
      </c>
      <c r="F2345" s="9"/>
    </row>
    <row r="2346" s="2" customFormat="1" ht="30" customHeight="1" spans="1:6">
      <c r="A2346" s="9">
        <v>2343</v>
      </c>
      <c r="B2346" s="10" t="s">
        <v>1230</v>
      </c>
      <c r="C2346" s="10" t="s">
        <v>1231</v>
      </c>
      <c r="D2346" s="10" t="s">
        <v>2325</v>
      </c>
      <c r="E2346" s="10" t="str">
        <f>"644020240516104538183058"</f>
        <v>644020240516104538183058</v>
      </c>
      <c r="F2346" s="9"/>
    </row>
    <row r="2347" s="2" customFormat="1" ht="30" customHeight="1" spans="1:6">
      <c r="A2347" s="9">
        <v>2344</v>
      </c>
      <c r="B2347" s="10" t="s">
        <v>1230</v>
      </c>
      <c r="C2347" s="10" t="s">
        <v>1231</v>
      </c>
      <c r="D2347" s="10" t="s">
        <v>2326</v>
      </c>
      <c r="E2347" s="10" t="str">
        <f>"644020240516104424183043"</f>
        <v>644020240516104424183043</v>
      </c>
      <c r="F2347" s="9"/>
    </row>
    <row r="2348" s="2" customFormat="1" ht="30" customHeight="1" spans="1:6">
      <c r="A2348" s="9">
        <v>2345</v>
      </c>
      <c r="B2348" s="10" t="s">
        <v>1230</v>
      </c>
      <c r="C2348" s="10" t="s">
        <v>1231</v>
      </c>
      <c r="D2348" s="10" t="s">
        <v>2327</v>
      </c>
      <c r="E2348" s="10" t="str">
        <f>"644020240516102905183027"</f>
        <v>644020240516102905183027</v>
      </c>
      <c r="F2348" s="9"/>
    </row>
    <row r="2349" s="2" customFormat="1" ht="30" customHeight="1" spans="1:6">
      <c r="A2349" s="9">
        <v>2346</v>
      </c>
      <c r="B2349" s="10" t="s">
        <v>1230</v>
      </c>
      <c r="C2349" s="10" t="s">
        <v>1231</v>
      </c>
      <c r="D2349" s="10" t="s">
        <v>2328</v>
      </c>
      <c r="E2349" s="10" t="str">
        <f>"644020240516085350182798"</f>
        <v>644020240516085350182798</v>
      </c>
      <c r="F2349" s="9"/>
    </row>
    <row r="2350" s="2" customFormat="1" ht="30" customHeight="1" spans="1:6">
      <c r="A2350" s="9">
        <v>2347</v>
      </c>
      <c r="B2350" s="10" t="s">
        <v>1230</v>
      </c>
      <c r="C2350" s="10" t="s">
        <v>1231</v>
      </c>
      <c r="D2350" s="10" t="s">
        <v>2329</v>
      </c>
      <c r="E2350" s="10" t="str">
        <f>"644020240516104427183044"</f>
        <v>644020240516104427183044</v>
      </c>
      <c r="F2350" s="9"/>
    </row>
    <row r="2351" s="2" customFormat="1" ht="30" customHeight="1" spans="1:6">
      <c r="A2351" s="9">
        <v>2348</v>
      </c>
      <c r="B2351" s="10" t="s">
        <v>1230</v>
      </c>
      <c r="C2351" s="10" t="s">
        <v>1231</v>
      </c>
      <c r="D2351" s="10" t="s">
        <v>2330</v>
      </c>
      <c r="E2351" s="10" t="str">
        <f>"644020240516104534183056"</f>
        <v>644020240516104534183056</v>
      </c>
      <c r="F2351" s="9"/>
    </row>
    <row r="2352" s="2" customFormat="1" ht="30" customHeight="1" spans="1:6">
      <c r="A2352" s="9">
        <v>2349</v>
      </c>
      <c r="B2352" s="10" t="s">
        <v>1230</v>
      </c>
      <c r="C2352" s="10" t="s">
        <v>1231</v>
      </c>
      <c r="D2352" s="10" t="s">
        <v>2331</v>
      </c>
      <c r="E2352" s="10" t="str">
        <f>"644020240515102600181034"</f>
        <v>644020240515102600181034</v>
      </c>
      <c r="F2352" s="9"/>
    </row>
    <row r="2353" s="2" customFormat="1" ht="30" customHeight="1" spans="1:6">
      <c r="A2353" s="9">
        <v>2350</v>
      </c>
      <c r="B2353" s="10" t="s">
        <v>1230</v>
      </c>
      <c r="C2353" s="10" t="s">
        <v>1231</v>
      </c>
      <c r="D2353" s="10" t="s">
        <v>2332</v>
      </c>
      <c r="E2353" s="10" t="str">
        <f>"644020240516105247183084"</f>
        <v>644020240516105247183084</v>
      </c>
      <c r="F2353" s="9"/>
    </row>
    <row r="2354" s="2" customFormat="1" ht="30" customHeight="1" spans="1:6">
      <c r="A2354" s="9">
        <v>2351</v>
      </c>
      <c r="B2354" s="10" t="s">
        <v>1230</v>
      </c>
      <c r="C2354" s="10" t="s">
        <v>1231</v>
      </c>
      <c r="D2354" s="10" t="s">
        <v>2333</v>
      </c>
      <c r="E2354" s="10" t="str">
        <f>"644020240516103006183029"</f>
        <v>644020240516103006183029</v>
      </c>
      <c r="F2354" s="9"/>
    </row>
    <row r="2355" s="2" customFormat="1" ht="30" customHeight="1" spans="1:6">
      <c r="A2355" s="9">
        <v>2352</v>
      </c>
      <c r="B2355" s="10" t="s">
        <v>1230</v>
      </c>
      <c r="C2355" s="10" t="s">
        <v>1231</v>
      </c>
      <c r="D2355" s="10" t="s">
        <v>2334</v>
      </c>
      <c r="E2355" s="10" t="str">
        <f>"644020240516111703183150"</f>
        <v>644020240516111703183150</v>
      </c>
      <c r="F2355" s="9"/>
    </row>
    <row r="2356" s="2" customFormat="1" ht="30" customHeight="1" spans="1:6">
      <c r="A2356" s="9">
        <v>2353</v>
      </c>
      <c r="B2356" s="10" t="s">
        <v>1230</v>
      </c>
      <c r="C2356" s="10" t="s">
        <v>1231</v>
      </c>
      <c r="D2356" s="10" t="s">
        <v>2335</v>
      </c>
      <c r="E2356" s="10" t="str">
        <f>"644020240515185902182134"</f>
        <v>644020240515185902182134</v>
      </c>
      <c r="F2356" s="9"/>
    </row>
    <row r="2357" s="2" customFormat="1" ht="30" customHeight="1" spans="1:6">
      <c r="A2357" s="9">
        <v>2354</v>
      </c>
      <c r="B2357" s="10" t="s">
        <v>1230</v>
      </c>
      <c r="C2357" s="10" t="s">
        <v>1231</v>
      </c>
      <c r="D2357" s="10" t="s">
        <v>2336</v>
      </c>
      <c r="E2357" s="10" t="str">
        <f>"644020240516102249183011"</f>
        <v>644020240516102249183011</v>
      </c>
      <c r="F2357" s="9"/>
    </row>
    <row r="2358" s="2" customFormat="1" ht="30" customHeight="1" spans="1:6">
      <c r="A2358" s="9">
        <v>2355</v>
      </c>
      <c r="B2358" s="10" t="s">
        <v>1230</v>
      </c>
      <c r="C2358" s="10" t="s">
        <v>1231</v>
      </c>
      <c r="D2358" s="10" t="s">
        <v>2337</v>
      </c>
      <c r="E2358" s="10" t="str">
        <f>"644020240514113129178731"</f>
        <v>644020240514113129178731</v>
      </c>
      <c r="F2358" s="9"/>
    </row>
    <row r="2359" s="2" customFormat="1" ht="30" customHeight="1" spans="1:6">
      <c r="A2359" s="9">
        <v>2356</v>
      </c>
      <c r="B2359" s="10" t="s">
        <v>1230</v>
      </c>
      <c r="C2359" s="10" t="s">
        <v>1231</v>
      </c>
      <c r="D2359" s="10" t="s">
        <v>2338</v>
      </c>
      <c r="E2359" s="10" t="str">
        <f>"644020240516110809183125"</f>
        <v>644020240516110809183125</v>
      </c>
      <c r="F2359" s="9"/>
    </row>
    <row r="2360" s="2" customFormat="1" ht="30" customHeight="1" spans="1:6">
      <c r="A2360" s="9">
        <v>2357</v>
      </c>
      <c r="B2360" s="10" t="s">
        <v>1230</v>
      </c>
      <c r="C2360" s="10" t="s">
        <v>1231</v>
      </c>
      <c r="D2360" s="10" t="s">
        <v>2339</v>
      </c>
      <c r="E2360" s="10" t="str">
        <f>"644020240516102833183026"</f>
        <v>644020240516102833183026</v>
      </c>
      <c r="F2360" s="9"/>
    </row>
    <row r="2361" s="2" customFormat="1" ht="30" customHeight="1" spans="1:6">
      <c r="A2361" s="9">
        <v>2358</v>
      </c>
      <c r="B2361" s="10" t="s">
        <v>1230</v>
      </c>
      <c r="C2361" s="10" t="s">
        <v>1231</v>
      </c>
      <c r="D2361" s="10" t="s">
        <v>2340</v>
      </c>
      <c r="E2361" s="10" t="str">
        <f>"644020240512105651168704"</f>
        <v>644020240512105651168704</v>
      </c>
      <c r="F2361" s="9"/>
    </row>
    <row r="2362" s="2" customFormat="1" ht="30" customHeight="1" spans="1:6">
      <c r="A2362" s="9">
        <v>2359</v>
      </c>
      <c r="B2362" s="10" t="s">
        <v>1230</v>
      </c>
      <c r="C2362" s="10" t="s">
        <v>1231</v>
      </c>
      <c r="D2362" s="10" t="s">
        <v>2341</v>
      </c>
      <c r="E2362" s="10" t="str">
        <f>"644020240513194810176683"</f>
        <v>644020240513194810176683</v>
      </c>
      <c r="F2362" s="9"/>
    </row>
    <row r="2363" s="2" customFormat="1" ht="30" customHeight="1" spans="1:6">
      <c r="A2363" s="9">
        <v>2360</v>
      </c>
      <c r="B2363" s="10" t="s">
        <v>1230</v>
      </c>
      <c r="C2363" s="10" t="s">
        <v>1231</v>
      </c>
      <c r="D2363" s="10" t="s">
        <v>2342</v>
      </c>
      <c r="E2363" s="10" t="str">
        <f>"644020240516112859183175"</f>
        <v>644020240516112859183175</v>
      </c>
      <c r="F2363" s="9"/>
    </row>
    <row r="2364" s="2" customFormat="1" ht="30" customHeight="1" spans="1:6">
      <c r="A2364" s="9">
        <v>2361</v>
      </c>
      <c r="B2364" s="10" t="s">
        <v>1230</v>
      </c>
      <c r="C2364" s="10" t="s">
        <v>1231</v>
      </c>
      <c r="D2364" s="10" t="s">
        <v>2343</v>
      </c>
      <c r="E2364" s="10" t="str">
        <f>"644020240516113031183177"</f>
        <v>644020240516113031183177</v>
      </c>
      <c r="F2364" s="9"/>
    </row>
    <row r="2365" s="2" customFormat="1" ht="30" customHeight="1" spans="1:6">
      <c r="A2365" s="9">
        <v>2362</v>
      </c>
      <c r="B2365" s="10" t="s">
        <v>1230</v>
      </c>
      <c r="C2365" s="10" t="s">
        <v>1231</v>
      </c>
      <c r="D2365" s="10" t="s">
        <v>1308</v>
      </c>
      <c r="E2365" s="10" t="str">
        <f>"644020240513155813175763"</f>
        <v>644020240513155813175763</v>
      </c>
      <c r="F2365" s="9"/>
    </row>
    <row r="2366" s="2" customFormat="1" ht="30" customHeight="1" spans="1:6">
      <c r="A2366" s="9">
        <v>2363</v>
      </c>
      <c r="B2366" s="10" t="s">
        <v>1230</v>
      </c>
      <c r="C2366" s="10" t="s">
        <v>1231</v>
      </c>
      <c r="D2366" s="10" t="s">
        <v>2344</v>
      </c>
      <c r="E2366" s="10" t="str">
        <f>"644020240515113303181251"</f>
        <v>644020240515113303181251</v>
      </c>
      <c r="F2366" s="9"/>
    </row>
    <row r="2367" s="2" customFormat="1" ht="30" customHeight="1" spans="1:6">
      <c r="A2367" s="9">
        <v>2364</v>
      </c>
      <c r="B2367" s="10" t="s">
        <v>1230</v>
      </c>
      <c r="C2367" s="10" t="s">
        <v>1231</v>
      </c>
      <c r="D2367" s="10" t="s">
        <v>2345</v>
      </c>
      <c r="E2367" s="10" t="str">
        <f>"644020240516104933183075"</f>
        <v>644020240516104933183075</v>
      </c>
      <c r="F2367" s="9"/>
    </row>
    <row r="2368" s="2" customFormat="1" ht="30" customHeight="1" spans="1:6">
      <c r="A2368" s="9">
        <v>2365</v>
      </c>
      <c r="B2368" s="10" t="s">
        <v>1230</v>
      </c>
      <c r="C2368" s="10" t="s">
        <v>1231</v>
      </c>
      <c r="D2368" s="10" t="s">
        <v>2346</v>
      </c>
      <c r="E2368" s="10" t="str">
        <f>"644020240516111742183152"</f>
        <v>644020240516111742183152</v>
      </c>
      <c r="F2368" s="9"/>
    </row>
    <row r="2369" s="2" customFormat="1" ht="30" customHeight="1" spans="1:6">
      <c r="A2369" s="9">
        <v>2366</v>
      </c>
      <c r="B2369" s="10" t="s">
        <v>1230</v>
      </c>
      <c r="C2369" s="10" t="s">
        <v>1231</v>
      </c>
      <c r="D2369" s="10" t="s">
        <v>2347</v>
      </c>
      <c r="E2369" s="10" t="str">
        <f>"644020240516081328182750"</f>
        <v>644020240516081328182750</v>
      </c>
      <c r="F2369" s="9"/>
    </row>
    <row r="2370" s="2" customFormat="1" ht="30" customHeight="1" spans="1:6">
      <c r="A2370" s="9">
        <v>2367</v>
      </c>
      <c r="B2370" s="10" t="s">
        <v>1230</v>
      </c>
      <c r="C2370" s="10" t="s">
        <v>1231</v>
      </c>
      <c r="D2370" s="10" t="s">
        <v>2348</v>
      </c>
      <c r="E2370" s="10" t="str">
        <f>"644020240516112058183157"</f>
        <v>644020240516112058183157</v>
      </c>
      <c r="F2370" s="9"/>
    </row>
    <row r="2371" s="2" customFormat="1" ht="30" customHeight="1" spans="1:6">
      <c r="A2371" s="9">
        <v>2368</v>
      </c>
      <c r="B2371" s="10" t="s">
        <v>1230</v>
      </c>
      <c r="C2371" s="10" t="s">
        <v>1231</v>
      </c>
      <c r="D2371" s="10" t="s">
        <v>2349</v>
      </c>
      <c r="E2371" s="10" t="str">
        <f>"644020240514193539179936"</f>
        <v>644020240514193539179936</v>
      </c>
      <c r="F2371" s="9"/>
    </row>
    <row r="2372" s="2" customFormat="1" ht="30" customHeight="1" spans="1:6">
      <c r="A2372" s="9">
        <v>2369</v>
      </c>
      <c r="B2372" s="10" t="s">
        <v>1230</v>
      </c>
      <c r="C2372" s="10" t="s">
        <v>1231</v>
      </c>
      <c r="D2372" s="10" t="s">
        <v>2350</v>
      </c>
      <c r="E2372" s="10" t="str">
        <f>"644020240516075301182728"</f>
        <v>644020240516075301182728</v>
      </c>
      <c r="F2372" s="9"/>
    </row>
    <row r="2373" s="2" customFormat="1" ht="30" customHeight="1" spans="1:6">
      <c r="A2373" s="9">
        <v>2370</v>
      </c>
      <c r="B2373" s="10" t="s">
        <v>1230</v>
      </c>
      <c r="C2373" s="10" t="s">
        <v>1231</v>
      </c>
      <c r="D2373" s="10" t="s">
        <v>1803</v>
      </c>
      <c r="E2373" s="10" t="str">
        <f>"644020240516095321182934"</f>
        <v>644020240516095321182934</v>
      </c>
      <c r="F2373" s="9"/>
    </row>
    <row r="2374" s="2" customFormat="1" ht="30" customHeight="1" spans="1:6">
      <c r="A2374" s="9">
        <v>2371</v>
      </c>
      <c r="B2374" s="10" t="s">
        <v>1230</v>
      </c>
      <c r="C2374" s="10" t="s">
        <v>1231</v>
      </c>
      <c r="D2374" s="10" t="s">
        <v>2351</v>
      </c>
      <c r="E2374" s="10" t="str">
        <f>"644020240516091831182850"</f>
        <v>644020240516091831182850</v>
      </c>
      <c r="F2374" s="9"/>
    </row>
    <row r="2375" s="2" customFormat="1" ht="30" customHeight="1" spans="1:6">
      <c r="A2375" s="9">
        <v>2372</v>
      </c>
      <c r="B2375" s="10" t="s">
        <v>1230</v>
      </c>
      <c r="C2375" s="10" t="s">
        <v>1231</v>
      </c>
      <c r="D2375" s="10" t="s">
        <v>2352</v>
      </c>
      <c r="E2375" s="10" t="str">
        <f>"644020240516122322183267"</f>
        <v>644020240516122322183267</v>
      </c>
      <c r="F2375" s="9"/>
    </row>
    <row r="2376" s="2" customFormat="1" ht="30" customHeight="1" spans="1:6">
      <c r="A2376" s="9">
        <v>2373</v>
      </c>
      <c r="B2376" s="10" t="s">
        <v>1230</v>
      </c>
      <c r="C2376" s="10" t="s">
        <v>1231</v>
      </c>
      <c r="D2376" s="10" t="s">
        <v>2353</v>
      </c>
      <c r="E2376" s="10" t="str">
        <f>"644020240516122202183264"</f>
        <v>644020240516122202183264</v>
      </c>
      <c r="F2376" s="9"/>
    </row>
    <row r="2377" s="2" customFormat="1" ht="30" customHeight="1" spans="1:6">
      <c r="A2377" s="9">
        <v>2374</v>
      </c>
      <c r="B2377" s="10" t="s">
        <v>1230</v>
      </c>
      <c r="C2377" s="10" t="s">
        <v>1231</v>
      </c>
      <c r="D2377" s="10" t="s">
        <v>2354</v>
      </c>
      <c r="E2377" s="10" t="str">
        <f>"644020240516114733183203"</f>
        <v>644020240516114733183203</v>
      </c>
      <c r="F2377" s="9"/>
    </row>
    <row r="2378" s="2" customFormat="1" ht="30" customHeight="1" spans="1:6">
      <c r="A2378" s="9">
        <v>2375</v>
      </c>
      <c r="B2378" s="10" t="s">
        <v>1230</v>
      </c>
      <c r="C2378" s="10" t="s">
        <v>1231</v>
      </c>
      <c r="D2378" s="10" t="s">
        <v>2355</v>
      </c>
      <c r="E2378" s="10" t="str">
        <f>"644020240514152926179296"</f>
        <v>644020240514152926179296</v>
      </c>
      <c r="F2378" s="9"/>
    </row>
    <row r="2379" s="2" customFormat="1" ht="30" customHeight="1" spans="1:6">
      <c r="A2379" s="9">
        <v>2376</v>
      </c>
      <c r="B2379" s="10" t="s">
        <v>1230</v>
      </c>
      <c r="C2379" s="10" t="s">
        <v>1231</v>
      </c>
      <c r="D2379" s="10" t="s">
        <v>2356</v>
      </c>
      <c r="E2379" s="10" t="str">
        <f>"644020240513222623177348"</f>
        <v>644020240513222623177348</v>
      </c>
      <c r="F2379" s="9"/>
    </row>
    <row r="2380" s="2" customFormat="1" ht="30" customHeight="1" spans="1:6">
      <c r="A2380" s="9">
        <v>2377</v>
      </c>
      <c r="B2380" s="10" t="s">
        <v>1230</v>
      </c>
      <c r="C2380" s="10" t="s">
        <v>1231</v>
      </c>
      <c r="D2380" s="10" t="s">
        <v>2357</v>
      </c>
      <c r="E2380" s="10" t="str">
        <f>"644020240516115905183221"</f>
        <v>644020240516115905183221</v>
      </c>
      <c r="F2380" s="9"/>
    </row>
    <row r="2381" s="2" customFormat="1" ht="30" customHeight="1" spans="1:6">
      <c r="A2381" s="9">
        <v>2378</v>
      </c>
      <c r="B2381" s="10" t="s">
        <v>1230</v>
      </c>
      <c r="C2381" s="10" t="s">
        <v>1231</v>
      </c>
      <c r="D2381" s="10" t="s">
        <v>2358</v>
      </c>
      <c r="E2381" s="10" t="str">
        <f>"644020240516122756183279"</f>
        <v>644020240516122756183279</v>
      </c>
      <c r="F2381" s="9"/>
    </row>
    <row r="2382" s="2" customFormat="1" ht="30" customHeight="1" spans="1:6">
      <c r="A2382" s="9">
        <v>2379</v>
      </c>
      <c r="B2382" s="10" t="s">
        <v>1230</v>
      </c>
      <c r="C2382" s="10" t="s">
        <v>1231</v>
      </c>
      <c r="D2382" s="10" t="s">
        <v>2359</v>
      </c>
      <c r="E2382" s="10" t="str">
        <f>"644020240516125150183317"</f>
        <v>644020240516125150183317</v>
      </c>
      <c r="F2382" s="9"/>
    </row>
    <row r="2383" s="2" customFormat="1" ht="30" customHeight="1" spans="1:6">
      <c r="A2383" s="9">
        <v>2380</v>
      </c>
      <c r="B2383" s="10" t="s">
        <v>1230</v>
      </c>
      <c r="C2383" s="10" t="s">
        <v>1231</v>
      </c>
      <c r="D2383" s="10" t="s">
        <v>2360</v>
      </c>
      <c r="E2383" s="10" t="str">
        <f>"644020240515005258180610"</f>
        <v>644020240515005258180610</v>
      </c>
      <c r="F2383" s="9"/>
    </row>
    <row r="2384" s="2" customFormat="1" ht="30" customHeight="1" spans="1:6">
      <c r="A2384" s="9">
        <v>2381</v>
      </c>
      <c r="B2384" s="10" t="s">
        <v>1230</v>
      </c>
      <c r="C2384" s="10" t="s">
        <v>1231</v>
      </c>
      <c r="D2384" s="10" t="s">
        <v>2361</v>
      </c>
      <c r="E2384" s="10" t="str">
        <f>"644020240516125009183314"</f>
        <v>644020240516125009183314</v>
      </c>
      <c r="F2384" s="9"/>
    </row>
    <row r="2385" s="2" customFormat="1" ht="30" customHeight="1" spans="1:6">
      <c r="A2385" s="9">
        <v>2382</v>
      </c>
      <c r="B2385" s="10" t="s">
        <v>1230</v>
      </c>
      <c r="C2385" s="10" t="s">
        <v>1231</v>
      </c>
      <c r="D2385" s="10" t="s">
        <v>2362</v>
      </c>
      <c r="E2385" s="10" t="str">
        <f>"644020240515230521182519"</f>
        <v>644020240515230521182519</v>
      </c>
      <c r="F2385" s="9"/>
    </row>
    <row r="2386" s="2" customFormat="1" ht="30" customHeight="1" spans="1:6">
      <c r="A2386" s="9">
        <v>2383</v>
      </c>
      <c r="B2386" s="10" t="s">
        <v>1230</v>
      </c>
      <c r="C2386" s="10" t="s">
        <v>1231</v>
      </c>
      <c r="D2386" s="10" t="s">
        <v>2363</v>
      </c>
      <c r="E2386" s="10" t="str">
        <f>"644020240516131944183360"</f>
        <v>644020240516131944183360</v>
      </c>
      <c r="F2386" s="9"/>
    </row>
    <row r="2387" s="2" customFormat="1" ht="30" customHeight="1" spans="1:6">
      <c r="A2387" s="9">
        <v>2384</v>
      </c>
      <c r="B2387" s="10" t="s">
        <v>1230</v>
      </c>
      <c r="C2387" s="10" t="s">
        <v>1231</v>
      </c>
      <c r="D2387" s="10" t="s">
        <v>2364</v>
      </c>
      <c r="E2387" s="10" t="str">
        <f>"644020240516131959183361"</f>
        <v>644020240516131959183361</v>
      </c>
      <c r="F2387" s="9"/>
    </row>
    <row r="2388" s="2" customFormat="1" ht="30" customHeight="1" spans="1:6">
      <c r="A2388" s="9">
        <v>2385</v>
      </c>
      <c r="B2388" s="10" t="s">
        <v>1230</v>
      </c>
      <c r="C2388" s="10" t="s">
        <v>1231</v>
      </c>
      <c r="D2388" s="10" t="s">
        <v>2365</v>
      </c>
      <c r="E2388" s="10" t="str">
        <f>"644020240516130940183345"</f>
        <v>644020240516130940183345</v>
      </c>
      <c r="F2388" s="9"/>
    </row>
    <row r="2389" s="2" customFormat="1" ht="30" customHeight="1" spans="1:6">
      <c r="A2389" s="9">
        <v>2386</v>
      </c>
      <c r="B2389" s="10" t="s">
        <v>1230</v>
      </c>
      <c r="C2389" s="10" t="s">
        <v>1231</v>
      </c>
      <c r="D2389" s="10" t="s">
        <v>2366</v>
      </c>
      <c r="E2389" s="10" t="str">
        <f>"644020240515153942181719"</f>
        <v>644020240515153942181719</v>
      </c>
      <c r="F2389" s="9"/>
    </row>
    <row r="2390" s="2" customFormat="1" ht="30" customHeight="1" spans="1:6">
      <c r="A2390" s="9">
        <v>2387</v>
      </c>
      <c r="B2390" s="10" t="s">
        <v>1230</v>
      </c>
      <c r="C2390" s="10" t="s">
        <v>1231</v>
      </c>
      <c r="D2390" s="10" t="s">
        <v>2367</v>
      </c>
      <c r="E2390" s="10" t="str">
        <f>"644020240516110845183126"</f>
        <v>644020240516110845183126</v>
      </c>
      <c r="F2390" s="9"/>
    </row>
    <row r="2391" s="2" customFormat="1" ht="30" customHeight="1" spans="1:6">
      <c r="A2391" s="9">
        <v>2388</v>
      </c>
      <c r="B2391" s="10" t="s">
        <v>1230</v>
      </c>
      <c r="C2391" s="10" t="s">
        <v>1231</v>
      </c>
      <c r="D2391" s="10" t="s">
        <v>2368</v>
      </c>
      <c r="E2391" s="10" t="str">
        <f>"644020240516125935183331"</f>
        <v>644020240516125935183331</v>
      </c>
      <c r="F2391" s="9"/>
    </row>
    <row r="2392" s="2" customFormat="1" ht="30" customHeight="1" spans="1:6">
      <c r="A2392" s="9">
        <v>2389</v>
      </c>
      <c r="B2392" s="10" t="s">
        <v>1230</v>
      </c>
      <c r="C2392" s="10" t="s">
        <v>1231</v>
      </c>
      <c r="D2392" s="10" t="s">
        <v>2369</v>
      </c>
      <c r="E2392" s="10" t="str">
        <f>"644020240514200600179989"</f>
        <v>644020240514200600179989</v>
      </c>
      <c r="F2392" s="9"/>
    </row>
    <row r="2393" s="2" customFormat="1" ht="30" customHeight="1" spans="1:6">
      <c r="A2393" s="9">
        <v>2390</v>
      </c>
      <c r="B2393" s="10" t="s">
        <v>1230</v>
      </c>
      <c r="C2393" s="10" t="s">
        <v>1231</v>
      </c>
      <c r="D2393" s="10" t="s">
        <v>2370</v>
      </c>
      <c r="E2393" s="10" t="str">
        <f>"644020240516132313183364"</f>
        <v>644020240516132313183364</v>
      </c>
      <c r="F2393" s="9"/>
    </row>
    <row r="2394" s="2" customFormat="1" ht="30" customHeight="1" spans="1:6">
      <c r="A2394" s="9">
        <v>2391</v>
      </c>
      <c r="B2394" s="10" t="s">
        <v>1230</v>
      </c>
      <c r="C2394" s="10" t="s">
        <v>1231</v>
      </c>
      <c r="D2394" s="10" t="s">
        <v>2371</v>
      </c>
      <c r="E2394" s="10" t="str">
        <f>"644020240516135321183398"</f>
        <v>644020240516135321183398</v>
      </c>
      <c r="F2394" s="9"/>
    </row>
    <row r="2395" s="2" customFormat="1" ht="30" customHeight="1" spans="1:6">
      <c r="A2395" s="9">
        <v>2392</v>
      </c>
      <c r="B2395" s="10" t="s">
        <v>1230</v>
      </c>
      <c r="C2395" s="10" t="s">
        <v>1231</v>
      </c>
      <c r="D2395" s="10" t="s">
        <v>2372</v>
      </c>
      <c r="E2395" s="10" t="str">
        <f>"644020240514235225180560"</f>
        <v>644020240514235225180560</v>
      </c>
      <c r="F2395" s="9"/>
    </row>
    <row r="2396" s="2" customFormat="1" ht="30" customHeight="1" spans="1:6">
      <c r="A2396" s="9">
        <v>2393</v>
      </c>
      <c r="B2396" s="10" t="s">
        <v>1230</v>
      </c>
      <c r="C2396" s="10" t="s">
        <v>1231</v>
      </c>
      <c r="D2396" s="10" t="s">
        <v>2373</v>
      </c>
      <c r="E2396" s="10" t="str">
        <f>"644020240516134222183386"</f>
        <v>644020240516134222183386</v>
      </c>
      <c r="F2396" s="9"/>
    </row>
    <row r="2397" s="2" customFormat="1" ht="30" customHeight="1" spans="1:6">
      <c r="A2397" s="9">
        <v>2394</v>
      </c>
      <c r="B2397" s="10" t="s">
        <v>1230</v>
      </c>
      <c r="C2397" s="10" t="s">
        <v>1231</v>
      </c>
      <c r="D2397" s="10" t="s">
        <v>2374</v>
      </c>
      <c r="E2397" s="10" t="str">
        <f>"644020240512133627169386"</f>
        <v>644020240512133627169386</v>
      </c>
      <c r="F2397" s="9"/>
    </row>
    <row r="2398" s="2" customFormat="1" ht="30" customHeight="1" spans="1:6">
      <c r="A2398" s="9">
        <v>2395</v>
      </c>
      <c r="B2398" s="10" t="s">
        <v>1230</v>
      </c>
      <c r="C2398" s="10" t="s">
        <v>1231</v>
      </c>
      <c r="D2398" s="10" t="s">
        <v>2375</v>
      </c>
      <c r="E2398" s="10" t="str">
        <f>"644020240516125000183313"</f>
        <v>644020240516125000183313</v>
      </c>
      <c r="F2398" s="9"/>
    </row>
    <row r="2399" s="2" customFormat="1" ht="30" customHeight="1" spans="1:6">
      <c r="A2399" s="9">
        <v>2396</v>
      </c>
      <c r="B2399" s="10" t="s">
        <v>1230</v>
      </c>
      <c r="C2399" s="10" t="s">
        <v>1231</v>
      </c>
      <c r="D2399" s="10" t="s">
        <v>2376</v>
      </c>
      <c r="E2399" s="10" t="str">
        <f>"644020240514225423180443"</f>
        <v>644020240514225423180443</v>
      </c>
      <c r="F2399" s="9"/>
    </row>
    <row r="2400" s="2" customFormat="1" ht="30" customHeight="1" spans="1:6">
      <c r="A2400" s="9">
        <v>2397</v>
      </c>
      <c r="B2400" s="10" t="s">
        <v>1230</v>
      </c>
      <c r="C2400" s="10" t="s">
        <v>1231</v>
      </c>
      <c r="D2400" s="10" t="s">
        <v>2377</v>
      </c>
      <c r="E2400" s="10" t="str">
        <f>"644020240515191335182145"</f>
        <v>644020240515191335182145</v>
      </c>
      <c r="F2400" s="9"/>
    </row>
    <row r="2401" s="2" customFormat="1" ht="30" customHeight="1" spans="1:6">
      <c r="A2401" s="9">
        <v>2398</v>
      </c>
      <c r="B2401" s="10" t="s">
        <v>1230</v>
      </c>
      <c r="C2401" s="10" t="s">
        <v>1231</v>
      </c>
      <c r="D2401" s="10" t="s">
        <v>2378</v>
      </c>
      <c r="E2401" s="10" t="str">
        <f>"644020240516134118183385"</f>
        <v>644020240516134118183385</v>
      </c>
      <c r="F2401" s="9"/>
    </row>
    <row r="2402" s="2" customFormat="1" ht="30" customHeight="1" spans="1:6">
      <c r="A2402" s="9">
        <v>2399</v>
      </c>
      <c r="B2402" s="10" t="s">
        <v>1230</v>
      </c>
      <c r="C2402" s="10" t="s">
        <v>1231</v>
      </c>
      <c r="D2402" s="10" t="s">
        <v>2379</v>
      </c>
      <c r="E2402" s="10" t="str">
        <f>"644020240516140819183408"</f>
        <v>644020240516140819183408</v>
      </c>
      <c r="F2402" s="9"/>
    </row>
    <row r="2403" s="2" customFormat="1" ht="30" customHeight="1" spans="1:6">
      <c r="A2403" s="9">
        <v>2400</v>
      </c>
      <c r="B2403" s="10" t="s">
        <v>1230</v>
      </c>
      <c r="C2403" s="10" t="s">
        <v>1231</v>
      </c>
      <c r="D2403" s="10" t="s">
        <v>2380</v>
      </c>
      <c r="E2403" s="10" t="str">
        <f>"644020240516121107183246"</f>
        <v>644020240516121107183246</v>
      </c>
      <c r="F2403" s="9"/>
    </row>
    <row r="2404" s="2" customFormat="1" ht="30" customHeight="1" spans="1:6">
      <c r="A2404" s="9">
        <v>2401</v>
      </c>
      <c r="B2404" s="10" t="s">
        <v>1230</v>
      </c>
      <c r="C2404" s="10" t="s">
        <v>1231</v>
      </c>
      <c r="D2404" s="10" t="s">
        <v>2381</v>
      </c>
      <c r="E2404" s="10" t="str">
        <f>"644020240512174720170265"</f>
        <v>644020240512174720170265</v>
      </c>
      <c r="F2404" s="9"/>
    </row>
    <row r="2405" s="2" customFormat="1" ht="30" customHeight="1" spans="1:6">
      <c r="A2405" s="9">
        <v>2402</v>
      </c>
      <c r="B2405" s="10" t="s">
        <v>1230</v>
      </c>
      <c r="C2405" s="10" t="s">
        <v>1231</v>
      </c>
      <c r="D2405" s="10" t="s">
        <v>2382</v>
      </c>
      <c r="E2405" s="10" t="str">
        <f>"644020240516143445183439"</f>
        <v>644020240516143445183439</v>
      </c>
      <c r="F2405" s="9"/>
    </row>
    <row r="2406" s="2" customFormat="1" ht="30" customHeight="1" spans="1:6">
      <c r="A2406" s="9">
        <v>2403</v>
      </c>
      <c r="B2406" s="10" t="s">
        <v>1230</v>
      </c>
      <c r="C2406" s="10" t="s">
        <v>1231</v>
      </c>
      <c r="D2406" s="10" t="s">
        <v>2383</v>
      </c>
      <c r="E2406" s="10" t="str">
        <f>"644020240516143330183438"</f>
        <v>644020240516143330183438</v>
      </c>
      <c r="F2406" s="9"/>
    </row>
    <row r="2407" s="2" customFormat="1" ht="30" customHeight="1" spans="1:6">
      <c r="A2407" s="9">
        <v>2404</v>
      </c>
      <c r="B2407" s="10" t="s">
        <v>1230</v>
      </c>
      <c r="C2407" s="10" t="s">
        <v>1231</v>
      </c>
      <c r="D2407" s="10" t="s">
        <v>2384</v>
      </c>
      <c r="E2407" s="10" t="str">
        <f>"644020240513162051175897"</f>
        <v>644020240513162051175897</v>
      </c>
      <c r="F2407" s="9"/>
    </row>
    <row r="2408" s="2" customFormat="1" ht="30" customHeight="1" spans="1:6">
      <c r="A2408" s="9">
        <v>2405</v>
      </c>
      <c r="B2408" s="10" t="s">
        <v>1230</v>
      </c>
      <c r="C2408" s="10" t="s">
        <v>1231</v>
      </c>
      <c r="D2408" s="10" t="s">
        <v>2385</v>
      </c>
      <c r="E2408" s="10" t="str">
        <f>"644020240516144212183450"</f>
        <v>644020240516144212183450</v>
      </c>
      <c r="F2408" s="9"/>
    </row>
    <row r="2409" s="2" customFormat="1" ht="30" customHeight="1" spans="1:6">
      <c r="A2409" s="9">
        <v>2406</v>
      </c>
      <c r="B2409" s="10" t="s">
        <v>1230</v>
      </c>
      <c r="C2409" s="10" t="s">
        <v>1231</v>
      </c>
      <c r="D2409" s="10" t="s">
        <v>2386</v>
      </c>
      <c r="E2409" s="10" t="str">
        <f>"644020240516145328183466"</f>
        <v>644020240516145328183466</v>
      </c>
      <c r="F2409" s="9"/>
    </row>
    <row r="2410" s="2" customFormat="1" ht="30" customHeight="1" spans="1:6">
      <c r="A2410" s="9">
        <v>2407</v>
      </c>
      <c r="B2410" s="10" t="s">
        <v>1230</v>
      </c>
      <c r="C2410" s="10" t="s">
        <v>1231</v>
      </c>
      <c r="D2410" s="10" t="s">
        <v>2387</v>
      </c>
      <c r="E2410" s="10" t="str">
        <f>"644020240516150225183489"</f>
        <v>644020240516150225183489</v>
      </c>
      <c r="F2410" s="9"/>
    </row>
    <row r="2411" s="2" customFormat="1" ht="30" customHeight="1" spans="1:6">
      <c r="A2411" s="9">
        <v>2408</v>
      </c>
      <c r="B2411" s="10" t="s">
        <v>1230</v>
      </c>
      <c r="C2411" s="10" t="s">
        <v>1231</v>
      </c>
      <c r="D2411" s="10" t="s">
        <v>2388</v>
      </c>
      <c r="E2411" s="10" t="str">
        <f>"644020240515105208181118"</f>
        <v>644020240515105208181118</v>
      </c>
      <c r="F2411" s="9"/>
    </row>
    <row r="2412" s="2" customFormat="1" ht="30" customHeight="1" spans="1:6">
      <c r="A2412" s="9">
        <v>2409</v>
      </c>
      <c r="B2412" s="10" t="s">
        <v>1230</v>
      </c>
      <c r="C2412" s="10" t="s">
        <v>1231</v>
      </c>
      <c r="D2412" s="10" t="s">
        <v>2389</v>
      </c>
      <c r="E2412" s="10" t="str">
        <f>"644020240514214434180239"</f>
        <v>644020240514214434180239</v>
      </c>
      <c r="F2412" s="9"/>
    </row>
    <row r="2413" s="2" customFormat="1" ht="30" customHeight="1" spans="1:6">
      <c r="A2413" s="9">
        <v>2410</v>
      </c>
      <c r="B2413" s="10" t="s">
        <v>1230</v>
      </c>
      <c r="C2413" s="10" t="s">
        <v>1231</v>
      </c>
      <c r="D2413" s="10" t="s">
        <v>2390</v>
      </c>
      <c r="E2413" s="10" t="str">
        <f>"644020240515222658182417"</f>
        <v>644020240515222658182417</v>
      </c>
      <c r="F2413" s="9"/>
    </row>
    <row r="2414" s="2" customFormat="1" ht="30" customHeight="1" spans="1:6">
      <c r="A2414" s="9">
        <v>2411</v>
      </c>
      <c r="B2414" s="10" t="s">
        <v>1230</v>
      </c>
      <c r="C2414" s="10" t="s">
        <v>1231</v>
      </c>
      <c r="D2414" s="10" t="s">
        <v>2391</v>
      </c>
      <c r="E2414" s="10" t="str">
        <f>"644020240516150621183497"</f>
        <v>644020240516150621183497</v>
      </c>
      <c r="F2414" s="9"/>
    </row>
    <row r="2415" s="2" customFormat="1" ht="30" customHeight="1" spans="1:6">
      <c r="A2415" s="9">
        <v>2412</v>
      </c>
      <c r="B2415" s="10" t="s">
        <v>1230</v>
      </c>
      <c r="C2415" s="10" t="s">
        <v>1231</v>
      </c>
      <c r="D2415" s="10" t="s">
        <v>2392</v>
      </c>
      <c r="E2415" s="10" t="str">
        <f>"644020240516151739183522"</f>
        <v>644020240516151739183522</v>
      </c>
      <c r="F2415" s="9"/>
    </row>
    <row r="2416" s="2" customFormat="1" ht="30" customHeight="1" spans="1:6">
      <c r="A2416" s="9">
        <v>2413</v>
      </c>
      <c r="B2416" s="10" t="s">
        <v>1230</v>
      </c>
      <c r="C2416" s="10" t="s">
        <v>1231</v>
      </c>
      <c r="D2416" s="10" t="s">
        <v>2393</v>
      </c>
      <c r="E2416" s="10" t="str">
        <f>"644020240516110549183117"</f>
        <v>644020240516110549183117</v>
      </c>
      <c r="F2416" s="9"/>
    </row>
    <row r="2417" s="2" customFormat="1" ht="30" customHeight="1" spans="1:6">
      <c r="A2417" s="9">
        <v>2414</v>
      </c>
      <c r="B2417" s="10" t="s">
        <v>1230</v>
      </c>
      <c r="C2417" s="10" t="s">
        <v>1231</v>
      </c>
      <c r="D2417" s="10" t="s">
        <v>2394</v>
      </c>
      <c r="E2417" s="10" t="str">
        <f>"644020240516115203183213"</f>
        <v>644020240516115203183213</v>
      </c>
      <c r="F2417" s="9"/>
    </row>
    <row r="2418" s="2" customFormat="1" ht="30" customHeight="1" spans="1:6">
      <c r="A2418" s="9">
        <v>2415</v>
      </c>
      <c r="B2418" s="10" t="s">
        <v>1230</v>
      </c>
      <c r="C2418" s="10" t="s">
        <v>1231</v>
      </c>
      <c r="D2418" s="10" t="s">
        <v>2395</v>
      </c>
      <c r="E2418" s="10" t="str">
        <f>"644020240516151645183521"</f>
        <v>644020240516151645183521</v>
      </c>
      <c r="F2418" s="9"/>
    </row>
    <row r="2419" s="2" customFormat="1" ht="30" customHeight="1" spans="1:6">
      <c r="A2419" s="9">
        <v>2416</v>
      </c>
      <c r="B2419" s="10" t="s">
        <v>1230</v>
      </c>
      <c r="C2419" s="10" t="s">
        <v>1231</v>
      </c>
      <c r="D2419" s="10" t="s">
        <v>2396</v>
      </c>
      <c r="E2419" s="10" t="str">
        <f>"644020240516152540183540"</f>
        <v>644020240516152540183540</v>
      </c>
      <c r="F2419" s="9"/>
    </row>
    <row r="2420" s="2" customFormat="1" ht="30" customHeight="1" spans="1:6">
      <c r="A2420" s="9">
        <v>2417</v>
      </c>
      <c r="B2420" s="10" t="s">
        <v>1230</v>
      </c>
      <c r="C2420" s="10" t="s">
        <v>1231</v>
      </c>
      <c r="D2420" s="10" t="s">
        <v>2397</v>
      </c>
      <c r="E2420" s="10" t="str">
        <f>"644020240515200511182226"</f>
        <v>644020240515200511182226</v>
      </c>
      <c r="F2420" s="9"/>
    </row>
    <row r="2421" s="2" customFormat="1" ht="30" customHeight="1" spans="1:6">
      <c r="A2421" s="9">
        <v>2418</v>
      </c>
      <c r="B2421" s="10" t="s">
        <v>1230</v>
      </c>
      <c r="C2421" s="10" t="s">
        <v>1231</v>
      </c>
      <c r="D2421" s="10" t="s">
        <v>2398</v>
      </c>
      <c r="E2421" s="10" t="str">
        <f>"644020240516151352183510"</f>
        <v>644020240516151352183510</v>
      </c>
      <c r="F2421" s="9"/>
    </row>
    <row r="2422" s="2" customFormat="1" ht="30" customHeight="1" spans="1:6">
      <c r="A2422" s="9">
        <v>2419</v>
      </c>
      <c r="B2422" s="10" t="s">
        <v>1230</v>
      </c>
      <c r="C2422" s="10" t="s">
        <v>1231</v>
      </c>
      <c r="D2422" s="10" t="s">
        <v>2399</v>
      </c>
      <c r="E2422" s="10" t="str">
        <f>"644020240513105757173667"</f>
        <v>644020240513105757173667</v>
      </c>
      <c r="F2422" s="9"/>
    </row>
    <row r="2423" s="2" customFormat="1" ht="30" customHeight="1" spans="1:6">
      <c r="A2423" s="9">
        <v>2420</v>
      </c>
      <c r="B2423" s="10" t="s">
        <v>1230</v>
      </c>
      <c r="C2423" s="10" t="s">
        <v>1231</v>
      </c>
      <c r="D2423" s="10" t="s">
        <v>2400</v>
      </c>
      <c r="E2423" s="10" t="str">
        <f>"644020240515231938182548"</f>
        <v>644020240515231938182548</v>
      </c>
      <c r="F2423" s="9"/>
    </row>
    <row r="2424" s="2" customFormat="1" ht="30" customHeight="1" spans="1:6">
      <c r="A2424" s="9">
        <v>2421</v>
      </c>
      <c r="B2424" s="10" t="s">
        <v>1230</v>
      </c>
      <c r="C2424" s="10" t="s">
        <v>1231</v>
      </c>
      <c r="D2424" s="10" t="s">
        <v>2401</v>
      </c>
      <c r="E2424" s="10" t="str">
        <f>"644020240515225403182491"</f>
        <v>644020240515225403182491</v>
      </c>
      <c r="F2424" s="9"/>
    </row>
    <row r="2425" s="2" customFormat="1" ht="30" customHeight="1" spans="1:6">
      <c r="A2425" s="9">
        <v>2422</v>
      </c>
      <c r="B2425" s="10" t="s">
        <v>1230</v>
      </c>
      <c r="C2425" s="10" t="s">
        <v>1231</v>
      </c>
      <c r="D2425" s="10" t="s">
        <v>2402</v>
      </c>
      <c r="E2425" s="10" t="str">
        <f>"644020240516154553183580"</f>
        <v>644020240516154553183580</v>
      </c>
      <c r="F2425" s="9"/>
    </row>
    <row r="2426" s="2" customFormat="1" ht="30" customHeight="1" spans="1:6">
      <c r="A2426" s="9">
        <v>2423</v>
      </c>
      <c r="B2426" s="10" t="s">
        <v>1230</v>
      </c>
      <c r="C2426" s="10" t="s">
        <v>1231</v>
      </c>
      <c r="D2426" s="10" t="s">
        <v>2403</v>
      </c>
      <c r="E2426" s="10" t="str">
        <f>"644020240516154021183566"</f>
        <v>644020240516154021183566</v>
      </c>
      <c r="F2426" s="9"/>
    </row>
    <row r="2427" s="2" customFormat="1" ht="30" customHeight="1" spans="1:6">
      <c r="A2427" s="9">
        <v>2424</v>
      </c>
      <c r="B2427" s="10" t="s">
        <v>1230</v>
      </c>
      <c r="C2427" s="10" t="s">
        <v>1231</v>
      </c>
      <c r="D2427" s="10" t="s">
        <v>2404</v>
      </c>
      <c r="E2427" s="10" t="str">
        <f>"644020240516111406183144"</f>
        <v>644020240516111406183144</v>
      </c>
      <c r="F2427" s="9"/>
    </row>
    <row r="2428" s="2" customFormat="1" ht="30" customHeight="1" spans="1:6">
      <c r="A2428" s="9">
        <v>2425</v>
      </c>
      <c r="B2428" s="10" t="s">
        <v>1230</v>
      </c>
      <c r="C2428" s="10" t="s">
        <v>1231</v>
      </c>
      <c r="D2428" s="10" t="s">
        <v>2405</v>
      </c>
      <c r="E2428" s="10" t="str">
        <f>"644020240516155910183613"</f>
        <v>644020240516155910183613</v>
      </c>
      <c r="F2428" s="9"/>
    </row>
    <row r="2429" s="2" customFormat="1" ht="30" customHeight="1" spans="1:6">
      <c r="A2429" s="9">
        <v>2426</v>
      </c>
      <c r="B2429" s="10" t="s">
        <v>1230</v>
      </c>
      <c r="C2429" s="10" t="s">
        <v>1231</v>
      </c>
      <c r="D2429" s="10" t="s">
        <v>2406</v>
      </c>
      <c r="E2429" s="10" t="str">
        <f>"644020240516155804183611"</f>
        <v>644020240516155804183611</v>
      </c>
      <c r="F2429" s="9"/>
    </row>
    <row r="2430" s="2" customFormat="1" ht="30" customHeight="1" spans="1:6">
      <c r="A2430" s="9">
        <v>2427</v>
      </c>
      <c r="B2430" s="10" t="s">
        <v>1230</v>
      </c>
      <c r="C2430" s="10" t="s">
        <v>1231</v>
      </c>
      <c r="D2430" s="10" t="s">
        <v>2407</v>
      </c>
      <c r="E2430" s="10" t="str">
        <f>"644020240516150729183499"</f>
        <v>644020240516150729183499</v>
      </c>
      <c r="F2430" s="9"/>
    </row>
    <row r="2431" s="2" customFormat="1" ht="30" customHeight="1" spans="1:6">
      <c r="A2431" s="9">
        <v>2428</v>
      </c>
      <c r="B2431" s="10" t="s">
        <v>1230</v>
      </c>
      <c r="C2431" s="10" t="s">
        <v>1231</v>
      </c>
      <c r="D2431" s="10" t="s">
        <v>2408</v>
      </c>
      <c r="E2431" s="10" t="str">
        <f>"644020240516151405183511"</f>
        <v>644020240516151405183511</v>
      </c>
      <c r="F2431" s="9"/>
    </row>
    <row r="2432" s="2" customFormat="1" ht="30" customHeight="1" spans="1:6">
      <c r="A2432" s="9">
        <v>2429</v>
      </c>
      <c r="B2432" s="10" t="s">
        <v>1230</v>
      </c>
      <c r="C2432" s="10" t="s">
        <v>1231</v>
      </c>
      <c r="D2432" s="10" t="s">
        <v>2409</v>
      </c>
      <c r="E2432" s="10" t="str">
        <f>"644020240516151622183518"</f>
        <v>644020240516151622183518</v>
      </c>
      <c r="F2432" s="9"/>
    </row>
    <row r="2433" s="2" customFormat="1" ht="30" customHeight="1" spans="1:6">
      <c r="A2433" s="9">
        <v>2430</v>
      </c>
      <c r="B2433" s="10" t="s">
        <v>1230</v>
      </c>
      <c r="C2433" s="10" t="s">
        <v>1231</v>
      </c>
      <c r="D2433" s="10" t="s">
        <v>2410</v>
      </c>
      <c r="E2433" s="10" t="str">
        <f>"644020240516111142183137"</f>
        <v>644020240516111142183137</v>
      </c>
      <c r="F2433" s="9"/>
    </row>
    <row r="2434" s="2" customFormat="1" ht="30" customHeight="1" spans="1:6">
      <c r="A2434" s="9">
        <v>2431</v>
      </c>
      <c r="B2434" s="10" t="s">
        <v>1230</v>
      </c>
      <c r="C2434" s="10" t="s">
        <v>1231</v>
      </c>
      <c r="D2434" s="10" t="s">
        <v>2411</v>
      </c>
      <c r="E2434" s="10" t="str">
        <f>"644020240516155948183616"</f>
        <v>644020240516155948183616</v>
      </c>
      <c r="F2434" s="9"/>
    </row>
    <row r="2435" s="2" customFormat="1" ht="30" customHeight="1" spans="1:6">
      <c r="A2435" s="9">
        <v>2432</v>
      </c>
      <c r="B2435" s="10" t="s">
        <v>1230</v>
      </c>
      <c r="C2435" s="10" t="s">
        <v>1231</v>
      </c>
      <c r="D2435" s="10" t="s">
        <v>2412</v>
      </c>
      <c r="E2435" s="10" t="str">
        <f>"644020240516161550183652"</f>
        <v>644020240516161550183652</v>
      </c>
      <c r="F2435" s="9"/>
    </row>
    <row r="2436" s="2" customFormat="1" ht="30" customHeight="1" spans="1:6">
      <c r="A2436" s="9">
        <v>2433</v>
      </c>
      <c r="B2436" s="10" t="s">
        <v>1230</v>
      </c>
      <c r="C2436" s="10" t="s">
        <v>1231</v>
      </c>
      <c r="D2436" s="10" t="s">
        <v>2413</v>
      </c>
      <c r="E2436" s="10" t="str">
        <f>"644020240516163352183699"</f>
        <v>644020240516163352183699</v>
      </c>
      <c r="F2436" s="9"/>
    </row>
    <row r="2437" s="2" customFormat="1" ht="30" customHeight="1" spans="1:6">
      <c r="A2437" s="9">
        <v>2434</v>
      </c>
      <c r="B2437" s="10" t="s">
        <v>1230</v>
      </c>
      <c r="C2437" s="10" t="s">
        <v>1231</v>
      </c>
      <c r="D2437" s="10" t="s">
        <v>2414</v>
      </c>
      <c r="E2437" s="10" t="str">
        <f>"644020240516101312182982"</f>
        <v>644020240516101312182982</v>
      </c>
      <c r="F2437" s="9"/>
    </row>
    <row r="2438" s="2" customFormat="1" ht="30" customHeight="1" spans="1:6">
      <c r="A2438" s="9">
        <v>2435</v>
      </c>
      <c r="B2438" s="10" t="s">
        <v>1230</v>
      </c>
      <c r="C2438" s="10" t="s">
        <v>1231</v>
      </c>
      <c r="D2438" s="10" t="s">
        <v>2415</v>
      </c>
      <c r="E2438" s="10" t="str">
        <f>"644020240516163951183711"</f>
        <v>644020240516163951183711</v>
      </c>
      <c r="F2438" s="9"/>
    </row>
    <row r="2439" s="2" customFormat="1" ht="30" customHeight="1" spans="1:6">
      <c r="A2439" s="9">
        <v>2436</v>
      </c>
      <c r="B2439" s="10" t="s">
        <v>1230</v>
      </c>
      <c r="C2439" s="10" t="s">
        <v>1231</v>
      </c>
      <c r="D2439" s="10" t="s">
        <v>2416</v>
      </c>
      <c r="E2439" s="10" t="str">
        <f>"644020240516164610183726"</f>
        <v>644020240516164610183726</v>
      </c>
      <c r="F2439" s="9"/>
    </row>
    <row r="2440" s="2" customFormat="1" ht="30" customHeight="1" spans="1:6">
      <c r="A2440" s="9">
        <v>2437</v>
      </c>
      <c r="B2440" s="10" t="s">
        <v>1230</v>
      </c>
      <c r="C2440" s="10" t="s">
        <v>1231</v>
      </c>
      <c r="D2440" s="10" t="s">
        <v>2417</v>
      </c>
      <c r="E2440" s="10" t="str">
        <f>"644020240516160118183619"</f>
        <v>644020240516160118183619</v>
      </c>
      <c r="F2440" s="9"/>
    </row>
    <row r="2441" s="2" customFormat="1" ht="30" customHeight="1" spans="1:6">
      <c r="A2441" s="9">
        <v>2438</v>
      </c>
      <c r="B2441" s="10" t="s">
        <v>1230</v>
      </c>
      <c r="C2441" s="10" t="s">
        <v>1231</v>
      </c>
      <c r="D2441" s="10" t="s">
        <v>2418</v>
      </c>
      <c r="E2441" s="10" t="str">
        <f>"644020240516161117183643"</f>
        <v>644020240516161117183643</v>
      </c>
      <c r="F2441" s="9"/>
    </row>
    <row r="2442" s="2" customFormat="1" ht="30" customHeight="1" spans="1:6">
      <c r="A2442" s="9">
        <v>2439</v>
      </c>
      <c r="B2442" s="10" t="s">
        <v>1230</v>
      </c>
      <c r="C2442" s="10" t="s">
        <v>1231</v>
      </c>
      <c r="D2442" s="10" t="s">
        <v>2419</v>
      </c>
      <c r="E2442" s="10" t="str">
        <f>"644020240516162126183668"</f>
        <v>644020240516162126183668</v>
      </c>
      <c r="F2442" s="9"/>
    </row>
    <row r="2443" s="2" customFormat="1" ht="30" customHeight="1" spans="1:6">
      <c r="A2443" s="9">
        <v>2440</v>
      </c>
      <c r="B2443" s="10" t="s">
        <v>1230</v>
      </c>
      <c r="C2443" s="10" t="s">
        <v>1231</v>
      </c>
      <c r="D2443" s="10" t="s">
        <v>2420</v>
      </c>
      <c r="E2443" s="10" t="str">
        <f>"644020240516170628183781"</f>
        <v>644020240516170628183781</v>
      </c>
      <c r="F2443" s="9"/>
    </row>
    <row r="2444" s="2" customFormat="1" ht="30" customHeight="1" spans="1:6">
      <c r="A2444" s="9">
        <v>2441</v>
      </c>
      <c r="B2444" s="10" t="s">
        <v>1230</v>
      </c>
      <c r="C2444" s="10" t="s">
        <v>1231</v>
      </c>
      <c r="D2444" s="10" t="s">
        <v>2421</v>
      </c>
      <c r="E2444" s="10" t="str">
        <f>"644020240516161641183657"</f>
        <v>644020240516161641183657</v>
      </c>
      <c r="F2444" s="9"/>
    </row>
    <row r="2445" s="2" customFormat="1" ht="30" customHeight="1" spans="1:6">
      <c r="A2445" s="9">
        <v>2442</v>
      </c>
      <c r="B2445" s="10" t="s">
        <v>1230</v>
      </c>
      <c r="C2445" s="10" t="s">
        <v>1231</v>
      </c>
      <c r="D2445" s="10" t="s">
        <v>2422</v>
      </c>
      <c r="E2445" s="10" t="str">
        <f>"644020240514112226178685"</f>
        <v>644020240514112226178685</v>
      </c>
      <c r="F2445" s="9"/>
    </row>
    <row r="2446" s="2" customFormat="1" ht="30" customHeight="1" spans="1:6">
      <c r="A2446" s="9">
        <v>2443</v>
      </c>
      <c r="B2446" s="10" t="s">
        <v>1230</v>
      </c>
      <c r="C2446" s="10" t="s">
        <v>1231</v>
      </c>
      <c r="D2446" s="10" t="s">
        <v>2423</v>
      </c>
      <c r="E2446" s="10" t="str">
        <f>"644020240512112254168850"</f>
        <v>644020240512112254168850</v>
      </c>
      <c r="F2446" s="9"/>
    </row>
    <row r="2447" s="2" customFormat="1" ht="30" customHeight="1" spans="1:6">
      <c r="A2447" s="9">
        <v>2444</v>
      </c>
      <c r="B2447" s="10" t="s">
        <v>1230</v>
      </c>
      <c r="C2447" s="10" t="s">
        <v>1231</v>
      </c>
      <c r="D2447" s="10" t="s">
        <v>2424</v>
      </c>
      <c r="E2447" s="10" t="str">
        <f>"644020240516172603183824"</f>
        <v>644020240516172603183824</v>
      </c>
      <c r="F2447" s="9"/>
    </row>
    <row r="2448" s="2" customFormat="1" ht="30" customHeight="1" spans="1:6">
      <c r="A2448" s="9">
        <v>2445</v>
      </c>
      <c r="B2448" s="10" t="s">
        <v>1230</v>
      </c>
      <c r="C2448" s="10" t="s">
        <v>1231</v>
      </c>
      <c r="D2448" s="10" t="s">
        <v>2425</v>
      </c>
      <c r="E2448" s="10" t="str">
        <f>"644020240516173118183833"</f>
        <v>644020240516173118183833</v>
      </c>
      <c r="F2448" s="9"/>
    </row>
    <row r="2449" s="2" customFormat="1" ht="30" customHeight="1" spans="1:6">
      <c r="A2449" s="9">
        <v>2446</v>
      </c>
      <c r="B2449" s="10" t="s">
        <v>1230</v>
      </c>
      <c r="C2449" s="10" t="s">
        <v>1231</v>
      </c>
      <c r="D2449" s="10" t="s">
        <v>2426</v>
      </c>
      <c r="E2449" s="10" t="str">
        <f>"644020240516171951183813"</f>
        <v>644020240516171951183813</v>
      </c>
      <c r="F2449" s="9"/>
    </row>
    <row r="2450" s="2" customFormat="1" ht="30" customHeight="1" spans="1:6">
      <c r="A2450" s="9">
        <v>2447</v>
      </c>
      <c r="B2450" s="10" t="s">
        <v>1230</v>
      </c>
      <c r="C2450" s="10" t="s">
        <v>1231</v>
      </c>
      <c r="D2450" s="10" t="s">
        <v>2427</v>
      </c>
      <c r="E2450" s="10" t="str">
        <f>"644020240514102001178369"</f>
        <v>644020240514102001178369</v>
      </c>
      <c r="F2450" s="9"/>
    </row>
    <row r="2451" s="2" customFormat="1" ht="30" customHeight="1" spans="1:6">
      <c r="A2451" s="9">
        <v>2448</v>
      </c>
      <c r="B2451" s="10" t="s">
        <v>1230</v>
      </c>
      <c r="C2451" s="10" t="s">
        <v>1231</v>
      </c>
      <c r="D2451" s="10" t="s">
        <v>1255</v>
      </c>
      <c r="E2451" s="10" t="str">
        <f>"644020240514084507177902"</f>
        <v>644020240514084507177902</v>
      </c>
      <c r="F2451" s="9"/>
    </row>
    <row r="2452" s="2" customFormat="1" ht="30" customHeight="1" spans="1:6">
      <c r="A2452" s="9">
        <v>2449</v>
      </c>
      <c r="B2452" s="10" t="s">
        <v>1230</v>
      </c>
      <c r="C2452" s="10" t="s">
        <v>1231</v>
      </c>
      <c r="D2452" s="10" t="s">
        <v>796</v>
      </c>
      <c r="E2452" s="10" t="str">
        <f>"644020240516000331182631"</f>
        <v>644020240516000331182631</v>
      </c>
      <c r="F2452" s="9"/>
    </row>
    <row r="2453" s="2" customFormat="1" ht="30" customHeight="1" spans="1:6">
      <c r="A2453" s="9">
        <v>2450</v>
      </c>
      <c r="B2453" s="10" t="s">
        <v>1230</v>
      </c>
      <c r="C2453" s="10" t="s">
        <v>1231</v>
      </c>
      <c r="D2453" s="10" t="s">
        <v>2428</v>
      </c>
      <c r="E2453" s="10" t="str">
        <f>"644020240516173831183849"</f>
        <v>644020240516173831183849</v>
      </c>
      <c r="F2453" s="9"/>
    </row>
    <row r="2454" s="2" customFormat="1" ht="30" customHeight="1" spans="1:6">
      <c r="A2454" s="9">
        <v>2451</v>
      </c>
      <c r="B2454" s="10" t="s">
        <v>1230</v>
      </c>
      <c r="C2454" s="10" t="s">
        <v>1231</v>
      </c>
      <c r="D2454" s="10" t="s">
        <v>2429</v>
      </c>
      <c r="E2454" s="10" t="str">
        <f>"644020240516175555183873"</f>
        <v>644020240516175555183873</v>
      </c>
      <c r="F2454" s="9"/>
    </row>
    <row r="2455" s="2" customFormat="1" ht="30" customHeight="1" spans="1:6">
      <c r="A2455" s="9">
        <v>2452</v>
      </c>
      <c r="B2455" s="10" t="s">
        <v>1230</v>
      </c>
      <c r="C2455" s="10" t="s">
        <v>1231</v>
      </c>
      <c r="D2455" s="10" t="s">
        <v>2430</v>
      </c>
      <c r="E2455" s="10" t="str">
        <f>"644020240516175900183879"</f>
        <v>644020240516175900183879</v>
      </c>
      <c r="F2455" s="9"/>
    </row>
    <row r="2456" s="2" customFormat="1" ht="30" customHeight="1" spans="1:6">
      <c r="A2456" s="9">
        <v>2453</v>
      </c>
      <c r="B2456" s="10" t="s">
        <v>1230</v>
      </c>
      <c r="C2456" s="10" t="s">
        <v>1231</v>
      </c>
      <c r="D2456" s="10" t="s">
        <v>2431</v>
      </c>
      <c r="E2456" s="10" t="str">
        <f>"644020240516180100183884"</f>
        <v>644020240516180100183884</v>
      </c>
      <c r="F2456" s="9"/>
    </row>
    <row r="2457" s="2" customFormat="1" ht="30" customHeight="1" spans="1:6">
      <c r="A2457" s="9">
        <v>2454</v>
      </c>
      <c r="B2457" s="10" t="s">
        <v>1230</v>
      </c>
      <c r="C2457" s="10" t="s">
        <v>1231</v>
      </c>
      <c r="D2457" s="10" t="s">
        <v>2115</v>
      </c>
      <c r="E2457" s="10" t="str">
        <f>"644020240516165234183748"</f>
        <v>644020240516165234183748</v>
      </c>
      <c r="F2457" s="9"/>
    </row>
    <row r="2458" s="2" customFormat="1" ht="30" customHeight="1" spans="1:6">
      <c r="A2458" s="9">
        <v>2455</v>
      </c>
      <c r="B2458" s="10" t="s">
        <v>1230</v>
      </c>
      <c r="C2458" s="10" t="s">
        <v>1231</v>
      </c>
      <c r="D2458" s="10" t="s">
        <v>2432</v>
      </c>
      <c r="E2458" s="10" t="str">
        <f>"644020240516180307183887"</f>
        <v>644020240516180307183887</v>
      </c>
      <c r="F2458" s="9"/>
    </row>
    <row r="2459" s="2" customFormat="1" ht="30" customHeight="1" spans="1:6">
      <c r="A2459" s="9">
        <v>2456</v>
      </c>
      <c r="B2459" s="10" t="s">
        <v>1230</v>
      </c>
      <c r="C2459" s="10" t="s">
        <v>1231</v>
      </c>
      <c r="D2459" s="10" t="s">
        <v>2433</v>
      </c>
      <c r="E2459" s="10" t="str">
        <f>"644020240515153831181716"</f>
        <v>644020240515153831181716</v>
      </c>
      <c r="F2459" s="9"/>
    </row>
    <row r="2460" s="2" customFormat="1" ht="30" customHeight="1" spans="1:6">
      <c r="A2460" s="9">
        <v>2457</v>
      </c>
      <c r="B2460" s="10" t="s">
        <v>1230</v>
      </c>
      <c r="C2460" s="10" t="s">
        <v>1231</v>
      </c>
      <c r="D2460" s="10" t="s">
        <v>2434</v>
      </c>
      <c r="E2460" s="10" t="str">
        <f>"644020240516183232183937"</f>
        <v>644020240516183232183937</v>
      </c>
      <c r="F2460" s="9"/>
    </row>
    <row r="2461" s="2" customFormat="1" ht="30" customHeight="1" spans="1:6">
      <c r="A2461" s="9">
        <v>2458</v>
      </c>
      <c r="B2461" s="10" t="s">
        <v>1230</v>
      </c>
      <c r="C2461" s="10" t="s">
        <v>1231</v>
      </c>
      <c r="D2461" s="10" t="s">
        <v>2435</v>
      </c>
      <c r="E2461" s="10" t="str">
        <f>"644020240515223852182451"</f>
        <v>644020240515223852182451</v>
      </c>
      <c r="F2461" s="9"/>
    </row>
    <row r="2462" s="2" customFormat="1" ht="30" customHeight="1" spans="1:6">
      <c r="A2462" s="9">
        <v>2459</v>
      </c>
      <c r="B2462" s="10" t="s">
        <v>1230</v>
      </c>
      <c r="C2462" s="10" t="s">
        <v>1231</v>
      </c>
      <c r="D2462" s="10" t="s">
        <v>2436</v>
      </c>
      <c r="E2462" s="10" t="str">
        <f>"644020240515141542181539"</f>
        <v>644020240515141542181539</v>
      </c>
      <c r="F2462" s="9"/>
    </row>
    <row r="2463" s="2" customFormat="1" ht="30" customHeight="1" spans="1:6">
      <c r="A2463" s="9">
        <v>2460</v>
      </c>
      <c r="B2463" s="10" t="s">
        <v>1230</v>
      </c>
      <c r="C2463" s="10" t="s">
        <v>1231</v>
      </c>
      <c r="D2463" s="10" t="s">
        <v>2437</v>
      </c>
      <c r="E2463" s="10" t="str">
        <f>"644020240516184454183958"</f>
        <v>644020240516184454183958</v>
      </c>
      <c r="F2463" s="9"/>
    </row>
    <row r="2464" s="2" customFormat="1" ht="30" customHeight="1" spans="1:6">
      <c r="A2464" s="9">
        <v>2461</v>
      </c>
      <c r="B2464" s="10" t="s">
        <v>1230</v>
      </c>
      <c r="C2464" s="10" t="s">
        <v>1231</v>
      </c>
      <c r="D2464" s="10" t="s">
        <v>2438</v>
      </c>
      <c r="E2464" s="10" t="str">
        <f>"644020240516190427183980"</f>
        <v>644020240516190427183980</v>
      </c>
      <c r="F2464" s="9"/>
    </row>
    <row r="2465" s="2" customFormat="1" ht="30" customHeight="1" spans="1:6">
      <c r="A2465" s="9">
        <v>2462</v>
      </c>
      <c r="B2465" s="10" t="s">
        <v>1230</v>
      </c>
      <c r="C2465" s="10" t="s">
        <v>1231</v>
      </c>
      <c r="D2465" s="10" t="s">
        <v>2439</v>
      </c>
      <c r="E2465" s="10" t="str">
        <f>"644020240515125656181410"</f>
        <v>644020240515125656181410</v>
      </c>
      <c r="F2465" s="9"/>
    </row>
    <row r="2466" s="2" customFormat="1" ht="30" customHeight="1" spans="1:6">
      <c r="A2466" s="9">
        <v>2463</v>
      </c>
      <c r="B2466" s="10" t="s">
        <v>1230</v>
      </c>
      <c r="C2466" s="10" t="s">
        <v>1231</v>
      </c>
      <c r="D2466" s="10" t="s">
        <v>2440</v>
      </c>
      <c r="E2466" s="10" t="str">
        <f>"644020240516192058184003"</f>
        <v>644020240516192058184003</v>
      </c>
      <c r="F2466" s="9"/>
    </row>
    <row r="2467" s="2" customFormat="1" ht="30" customHeight="1" spans="1:6">
      <c r="A2467" s="9">
        <v>2464</v>
      </c>
      <c r="B2467" s="10" t="s">
        <v>1230</v>
      </c>
      <c r="C2467" s="10" t="s">
        <v>1231</v>
      </c>
      <c r="D2467" s="10" t="s">
        <v>2441</v>
      </c>
      <c r="E2467" s="10" t="str">
        <f>"644020240513224908177448"</f>
        <v>644020240513224908177448</v>
      </c>
      <c r="F2467" s="9"/>
    </row>
    <row r="2468" s="2" customFormat="1" ht="30" customHeight="1" spans="1:6">
      <c r="A2468" s="9">
        <v>2465</v>
      </c>
      <c r="B2468" s="10" t="s">
        <v>1230</v>
      </c>
      <c r="C2468" s="10" t="s">
        <v>1231</v>
      </c>
      <c r="D2468" s="10" t="s">
        <v>2442</v>
      </c>
      <c r="E2468" s="10" t="str">
        <f>"644020240516105508183091"</f>
        <v>644020240516105508183091</v>
      </c>
      <c r="F2468" s="9"/>
    </row>
    <row r="2469" s="2" customFormat="1" ht="30" customHeight="1" spans="1:6">
      <c r="A2469" s="9">
        <v>2466</v>
      </c>
      <c r="B2469" s="10" t="s">
        <v>1230</v>
      </c>
      <c r="C2469" s="10" t="s">
        <v>1231</v>
      </c>
      <c r="D2469" s="10" t="s">
        <v>2443</v>
      </c>
      <c r="E2469" s="10" t="str">
        <f>"644020240514211648180166"</f>
        <v>644020240514211648180166</v>
      </c>
      <c r="F2469" s="9"/>
    </row>
    <row r="2470" s="2" customFormat="1" ht="30" customHeight="1" spans="1:6">
      <c r="A2470" s="9">
        <v>2467</v>
      </c>
      <c r="B2470" s="10" t="s">
        <v>1230</v>
      </c>
      <c r="C2470" s="10" t="s">
        <v>1231</v>
      </c>
      <c r="D2470" s="10" t="s">
        <v>2444</v>
      </c>
      <c r="E2470" s="10" t="str">
        <f>"644020240516130903183344"</f>
        <v>644020240516130903183344</v>
      </c>
      <c r="F2470" s="9"/>
    </row>
    <row r="2471" s="2" customFormat="1" ht="30" customHeight="1" spans="1:6">
      <c r="A2471" s="9">
        <v>2468</v>
      </c>
      <c r="B2471" s="10" t="s">
        <v>1230</v>
      </c>
      <c r="C2471" s="10" t="s">
        <v>1231</v>
      </c>
      <c r="D2471" s="10" t="s">
        <v>1356</v>
      </c>
      <c r="E2471" s="10" t="str">
        <f>"644020240514171522179667"</f>
        <v>644020240514171522179667</v>
      </c>
      <c r="F2471" s="9"/>
    </row>
    <row r="2472" s="2" customFormat="1" ht="30" customHeight="1" spans="1:6">
      <c r="A2472" s="9">
        <v>2469</v>
      </c>
      <c r="B2472" s="10" t="s">
        <v>1230</v>
      </c>
      <c r="C2472" s="10" t="s">
        <v>1231</v>
      </c>
      <c r="D2472" s="10" t="s">
        <v>2445</v>
      </c>
      <c r="E2472" s="10" t="str">
        <f>"644020240515093447180869"</f>
        <v>644020240515093447180869</v>
      </c>
      <c r="F2472" s="9"/>
    </row>
    <row r="2473" s="2" customFormat="1" ht="30" customHeight="1" spans="1:6">
      <c r="A2473" s="9">
        <v>2470</v>
      </c>
      <c r="B2473" s="10" t="s">
        <v>1230</v>
      </c>
      <c r="C2473" s="10" t="s">
        <v>1231</v>
      </c>
      <c r="D2473" s="10" t="s">
        <v>2446</v>
      </c>
      <c r="E2473" s="10" t="str">
        <f>"644020240515130943181435"</f>
        <v>644020240515130943181435</v>
      </c>
      <c r="F2473" s="9"/>
    </row>
    <row r="2474" s="2" customFormat="1" ht="30" customHeight="1" spans="1:6">
      <c r="A2474" s="9">
        <v>2471</v>
      </c>
      <c r="B2474" s="10" t="s">
        <v>1230</v>
      </c>
      <c r="C2474" s="10" t="s">
        <v>1231</v>
      </c>
      <c r="D2474" s="10" t="s">
        <v>2447</v>
      </c>
      <c r="E2474" s="10" t="str">
        <f>"644020240516203222184065"</f>
        <v>644020240516203222184065</v>
      </c>
      <c r="F2474" s="9"/>
    </row>
    <row r="2475" s="2" customFormat="1" ht="30" customHeight="1" spans="1:6">
      <c r="A2475" s="9">
        <v>2472</v>
      </c>
      <c r="B2475" s="10" t="s">
        <v>1230</v>
      </c>
      <c r="C2475" s="10" t="s">
        <v>1231</v>
      </c>
      <c r="D2475" s="10" t="s">
        <v>2448</v>
      </c>
      <c r="E2475" s="10" t="str">
        <f>"644020240516144021183447"</f>
        <v>644020240516144021183447</v>
      </c>
      <c r="F2475" s="9"/>
    </row>
    <row r="2476" s="2" customFormat="1" ht="30" customHeight="1" spans="1:6">
      <c r="A2476" s="9">
        <v>2473</v>
      </c>
      <c r="B2476" s="10" t="s">
        <v>1230</v>
      </c>
      <c r="C2476" s="10" t="s">
        <v>1231</v>
      </c>
      <c r="D2476" s="10" t="s">
        <v>2449</v>
      </c>
      <c r="E2476" s="10" t="str">
        <f>"644020240513193233176627"</f>
        <v>644020240513193233176627</v>
      </c>
      <c r="F2476" s="9"/>
    </row>
    <row r="2477" s="2" customFormat="1" ht="30" customHeight="1" spans="1:6">
      <c r="A2477" s="9">
        <v>2474</v>
      </c>
      <c r="B2477" s="10" t="s">
        <v>1230</v>
      </c>
      <c r="C2477" s="10" t="s">
        <v>1231</v>
      </c>
      <c r="D2477" s="10" t="s">
        <v>2450</v>
      </c>
      <c r="E2477" s="10" t="str">
        <f>"644020240516204250184092"</f>
        <v>644020240516204250184092</v>
      </c>
      <c r="F2477" s="9"/>
    </row>
    <row r="2478" s="2" customFormat="1" ht="30" customHeight="1" spans="1:6">
      <c r="A2478" s="9">
        <v>2475</v>
      </c>
      <c r="B2478" s="10" t="s">
        <v>1230</v>
      </c>
      <c r="C2478" s="10" t="s">
        <v>1231</v>
      </c>
      <c r="D2478" s="10" t="s">
        <v>2451</v>
      </c>
      <c r="E2478" s="10" t="str">
        <f>"644020240516183217183936"</f>
        <v>644020240516183217183936</v>
      </c>
      <c r="F2478" s="9"/>
    </row>
    <row r="2479" s="2" customFormat="1" ht="30" customHeight="1" spans="1:6">
      <c r="A2479" s="9">
        <v>2476</v>
      </c>
      <c r="B2479" s="10" t="s">
        <v>1230</v>
      </c>
      <c r="C2479" s="10" t="s">
        <v>1231</v>
      </c>
      <c r="D2479" s="10" t="s">
        <v>2452</v>
      </c>
      <c r="E2479" s="10" t="str">
        <f>"644020240515232915182571"</f>
        <v>644020240515232915182571</v>
      </c>
      <c r="F2479" s="9"/>
    </row>
    <row r="2480" s="2" customFormat="1" ht="30" customHeight="1" spans="1:6">
      <c r="A2480" s="9">
        <v>2477</v>
      </c>
      <c r="B2480" s="10" t="s">
        <v>1230</v>
      </c>
      <c r="C2480" s="10" t="s">
        <v>1231</v>
      </c>
      <c r="D2480" s="10" t="s">
        <v>2453</v>
      </c>
      <c r="E2480" s="10" t="str">
        <f>"644020240516181758183910"</f>
        <v>644020240516181758183910</v>
      </c>
      <c r="F2480" s="9"/>
    </row>
    <row r="2481" s="2" customFormat="1" ht="30" customHeight="1" spans="1:6">
      <c r="A2481" s="9">
        <v>2478</v>
      </c>
      <c r="B2481" s="10" t="s">
        <v>1230</v>
      </c>
      <c r="C2481" s="10" t="s">
        <v>1231</v>
      </c>
      <c r="D2481" s="10" t="s">
        <v>2454</v>
      </c>
      <c r="E2481" s="10" t="str">
        <f>"644020240516170211183773"</f>
        <v>644020240516170211183773</v>
      </c>
      <c r="F2481" s="9"/>
    </row>
    <row r="2482" s="2" customFormat="1" ht="30" customHeight="1" spans="1:6">
      <c r="A2482" s="9">
        <v>2479</v>
      </c>
      <c r="B2482" s="10" t="s">
        <v>1230</v>
      </c>
      <c r="C2482" s="10" t="s">
        <v>1231</v>
      </c>
      <c r="D2482" s="10" t="s">
        <v>2455</v>
      </c>
      <c r="E2482" s="10" t="str">
        <f>"644020240514113544178750"</f>
        <v>644020240514113544178750</v>
      </c>
      <c r="F2482" s="9"/>
    </row>
    <row r="2483" s="2" customFormat="1" ht="30" customHeight="1" spans="1:6">
      <c r="A2483" s="9">
        <v>2480</v>
      </c>
      <c r="B2483" s="10" t="s">
        <v>1230</v>
      </c>
      <c r="C2483" s="10" t="s">
        <v>1231</v>
      </c>
      <c r="D2483" s="10" t="s">
        <v>2456</v>
      </c>
      <c r="E2483" s="10" t="str">
        <f>"644020240516143641183442"</f>
        <v>644020240516143641183442</v>
      </c>
      <c r="F2483" s="9"/>
    </row>
    <row r="2484" s="2" customFormat="1" ht="30" customHeight="1" spans="1:6">
      <c r="A2484" s="9">
        <v>2481</v>
      </c>
      <c r="B2484" s="10" t="s">
        <v>1230</v>
      </c>
      <c r="C2484" s="10" t="s">
        <v>1231</v>
      </c>
      <c r="D2484" s="10" t="s">
        <v>2457</v>
      </c>
      <c r="E2484" s="10" t="str">
        <f>"644020240516212907184135"</f>
        <v>644020240516212907184135</v>
      </c>
      <c r="F2484" s="9"/>
    </row>
    <row r="2485" s="2" customFormat="1" ht="30" customHeight="1" spans="1:6">
      <c r="A2485" s="9">
        <v>2482</v>
      </c>
      <c r="B2485" s="10" t="s">
        <v>1230</v>
      </c>
      <c r="C2485" s="10" t="s">
        <v>1231</v>
      </c>
      <c r="D2485" s="10" t="s">
        <v>2458</v>
      </c>
      <c r="E2485" s="10" t="str">
        <f>"644020240516193305184019"</f>
        <v>644020240516193305184019</v>
      </c>
      <c r="F2485" s="9"/>
    </row>
    <row r="2486" s="2" customFormat="1" ht="30" customHeight="1" spans="1:6">
      <c r="A2486" s="9">
        <v>2483</v>
      </c>
      <c r="B2486" s="10" t="s">
        <v>1230</v>
      </c>
      <c r="C2486" s="10" t="s">
        <v>1231</v>
      </c>
      <c r="D2486" s="10" t="s">
        <v>2459</v>
      </c>
      <c r="E2486" s="10" t="str">
        <f>"644020240514233125180521"</f>
        <v>644020240514233125180521</v>
      </c>
      <c r="F2486" s="9"/>
    </row>
    <row r="2487" s="2" customFormat="1" ht="30" customHeight="1" spans="1:6">
      <c r="A2487" s="9">
        <v>2484</v>
      </c>
      <c r="B2487" s="10" t="s">
        <v>1230</v>
      </c>
      <c r="C2487" s="10" t="s">
        <v>1231</v>
      </c>
      <c r="D2487" s="10" t="s">
        <v>2460</v>
      </c>
      <c r="E2487" s="10" t="str">
        <f>"644020240516203720184081"</f>
        <v>644020240516203720184081</v>
      </c>
      <c r="F2487" s="9"/>
    </row>
    <row r="2488" s="2" customFormat="1" ht="30" customHeight="1" spans="1:6">
      <c r="A2488" s="9">
        <v>2485</v>
      </c>
      <c r="B2488" s="10" t="s">
        <v>1230</v>
      </c>
      <c r="C2488" s="10" t="s">
        <v>1231</v>
      </c>
      <c r="D2488" s="10" t="s">
        <v>2461</v>
      </c>
      <c r="E2488" s="10" t="str">
        <f>"644020240516203536184075"</f>
        <v>644020240516203536184075</v>
      </c>
      <c r="F2488" s="9"/>
    </row>
    <row r="2489" s="2" customFormat="1" ht="30" customHeight="1" spans="1:6">
      <c r="A2489" s="9">
        <v>2486</v>
      </c>
      <c r="B2489" s="10" t="s">
        <v>1230</v>
      </c>
      <c r="C2489" s="10" t="s">
        <v>1231</v>
      </c>
      <c r="D2489" s="10" t="s">
        <v>1525</v>
      </c>
      <c r="E2489" s="10" t="str">
        <f>"644020240516213001184139"</f>
        <v>644020240516213001184139</v>
      </c>
      <c r="F2489" s="9"/>
    </row>
    <row r="2490" s="2" customFormat="1" ht="30" customHeight="1" spans="1:6">
      <c r="A2490" s="9">
        <v>2487</v>
      </c>
      <c r="B2490" s="10" t="s">
        <v>1230</v>
      </c>
      <c r="C2490" s="10" t="s">
        <v>1231</v>
      </c>
      <c r="D2490" s="10" t="s">
        <v>2462</v>
      </c>
      <c r="E2490" s="10" t="str">
        <f>"644020240516212634184124"</f>
        <v>644020240516212634184124</v>
      </c>
      <c r="F2490" s="9"/>
    </row>
    <row r="2491" s="2" customFormat="1" ht="30" customHeight="1" spans="1:6">
      <c r="A2491" s="9">
        <v>2488</v>
      </c>
      <c r="B2491" s="10" t="s">
        <v>1230</v>
      </c>
      <c r="C2491" s="10" t="s">
        <v>1231</v>
      </c>
      <c r="D2491" s="10" t="s">
        <v>2463</v>
      </c>
      <c r="E2491" s="10" t="str">
        <f>"644020240516214556184181"</f>
        <v>644020240516214556184181</v>
      </c>
      <c r="F2491" s="9"/>
    </row>
    <row r="2492" s="2" customFormat="1" ht="30" customHeight="1" spans="1:6">
      <c r="A2492" s="9">
        <v>2489</v>
      </c>
      <c r="B2492" s="10" t="s">
        <v>1230</v>
      </c>
      <c r="C2492" s="10" t="s">
        <v>1231</v>
      </c>
      <c r="D2492" s="10" t="s">
        <v>2464</v>
      </c>
      <c r="E2492" s="10" t="str">
        <f>"644020240516215928184226"</f>
        <v>644020240516215928184226</v>
      </c>
      <c r="F2492" s="9"/>
    </row>
    <row r="2493" s="2" customFormat="1" ht="30" customHeight="1" spans="1:6">
      <c r="A2493" s="9">
        <v>2490</v>
      </c>
      <c r="B2493" s="10" t="s">
        <v>1230</v>
      </c>
      <c r="C2493" s="10" t="s">
        <v>1231</v>
      </c>
      <c r="D2493" s="10" t="s">
        <v>2465</v>
      </c>
      <c r="E2493" s="10" t="str">
        <f>"644020240516174036183854"</f>
        <v>644020240516174036183854</v>
      </c>
      <c r="F2493" s="9"/>
    </row>
    <row r="2494" s="2" customFormat="1" ht="30" customHeight="1" spans="1:6">
      <c r="A2494" s="9">
        <v>2491</v>
      </c>
      <c r="B2494" s="10" t="s">
        <v>1230</v>
      </c>
      <c r="C2494" s="10" t="s">
        <v>1231</v>
      </c>
      <c r="D2494" s="10" t="s">
        <v>2466</v>
      </c>
      <c r="E2494" s="10" t="str">
        <f>"644020240516214129184168"</f>
        <v>644020240516214129184168</v>
      </c>
      <c r="F2494" s="9"/>
    </row>
    <row r="2495" s="2" customFormat="1" ht="30" customHeight="1" spans="1:6">
      <c r="A2495" s="9">
        <v>2492</v>
      </c>
      <c r="B2495" s="10" t="s">
        <v>1230</v>
      </c>
      <c r="C2495" s="10" t="s">
        <v>1231</v>
      </c>
      <c r="D2495" s="10" t="s">
        <v>2467</v>
      </c>
      <c r="E2495" s="10" t="str">
        <f>"644020240515221601182381"</f>
        <v>644020240515221601182381</v>
      </c>
      <c r="F2495" s="9"/>
    </row>
    <row r="2496" s="2" customFormat="1" ht="30" customHeight="1" spans="1:6">
      <c r="A2496" s="9">
        <v>2493</v>
      </c>
      <c r="B2496" s="10" t="s">
        <v>1230</v>
      </c>
      <c r="C2496" s="10" t="s">
        <v>1231</v>
      </c>
      <c r="D2496" s="10" t="s">
        <v>2468</v>
      </c>
      <c r="E2496" s="10" t="str">
        <f>"644020240516213428184148"</f>
        <v>644020240516213428184148</v>
      </c>
      <c r="F2496" s="9"/>
    </row>
    <row r="2497" s="2" customFormat="1" ht="30" customHeight="1" spans="1:6">
      <c r="A2497" s="9">
        <v>2494</v>
      </c>
      <c r="B2497" s="10" t="s">
        <v>1230</v>
      </c>
      <c r="C2497" s="10" t="s">
        <v>1231</v>
      </c>
      <c r="D2497" s="10" t="s">
        <v>2469</v>
      </c>
      <c r="E2497" s="10" t="str">
        <f>"644020240516215621184204"</f>
        <v>644020240516215621184204</v>
      </c>
      <c r="F2497" s="9"/>
    </row>
    <row r="2498" s="2" customFormat="1" ht="30" customHeight="1" spans="1:6">
      <c r="A2498" s="9">
        <v>2495</v>
      </c>
      <c r="B2498" s="10" t="s">
        <v>1230</v>
      </c>
      <c r="C2498" s="10" t="s">
        <v>1231</v>
      </c>
      <c r="D2498" s="10" t="s">
        <v>2470</v>
      </c>
      <c r="E2498" s="10" t="str">
        <f>"644020240516220755184241"</f>
        <v>644020240516220755184241</v>
      </c>
      <c r="F2498" s="9"/>
    </row>
    <row r="2499" s="2" customFormat="1" ht="30" customHeight="1" spans="1:6">
      <c r="A2499" s="9">
        <v>2496</v>
      </c>
      <c r="B2499" s="10" t="s">
        <v>1230</v>
      </c>
      <c r="C2499" s="10" t="s">
        <v>1231</v>
      </c>
      <c r="D2499" s="10" t="s">
        <v>315</v>
      </c>
      <c r="E2499" s="10" t="str">
        <f>"644020240516181552183907"</f>
        <v>644020240516181552183907</v>
      </c>
      <c r="F2499" s="9"/>
    </row>
    <row r="2500" s="2" customFormat="1" ht="30" customHeight="1" spans="1:6">
      <c r="A2500" s="9">
        <v>2497</v>
      </c>
      <c r="B2500" s="10" t="s">
        <v>1230</v>
      </c>
      <c r="C2500" s="10" t="s">
        <v>1231</v>
      </c>
      <c r="D2500" s="10" t="s">
        <v>2471</v>
      </c>
      <c r="E2500" s="10" t="str">
        <f>"644020240514224315180419"</f>
        <v>644020240514224315180419</v>
      </c>
      <c r="F2500" s="9"/>
    </row>
    <row r="2501" s="2" customFormat="1" ht="30" customHeight="1" spans="1:6">
      <c r="A2501" s="9">
        <v>2498</v>
      </c>
      <c r="B2501" s="10" t="s">
        <v>1230</v>
      </c>
      <c r="C2501" s="10" t="s">
        <v>1231</v>
      </c>
      <c r="D2501" s="10" t="s">
        <v>2472</v>
      </c>
      <c r="E2501" s="10" t="str">
        <f>"644020240515114541181286"</f>
        <v>644020240515114541181286</v>
      </c>
      <c r="F2501" s="9"/>
    </row>
    <row r="2502" s="2" customFormat="1" ht="30" customHeight="1" spans="1:6">
      <c r="A2502" s="9">
        <v>2499</v>
      </c>
      <c r="B2502" s="10" t="s">
        <v>1230</v>
      </c>
      <c r="C2502" s="10" t="s">
        <v>1231</v>
      </c>
      <c r="D2502" s="10" t="s">
        <v>2473</v>
      </c>
      <c r="E2502" s="10" t="str">
        <f>"644020240516222133184272"</f>
        <v>644020240516222133184272</v>
      </c>
      <c r="F2502" s="9"/>
    </row>
    <row r="2503" s="2" customFormat="1" ht="30" customHeight="1" spans="1:6">
      <c r="A2503" s="9">
        <v>2500</v>
      </c>
      <c r="B2503" s="10" t="s">
        <v>1230</v>
      </c>
      <c r="C2503" s="10" t="s">
        <v>1231</v>
      </c>
      <c r="D2503" s="10" t="s">
        <v>2474</v>
      </c>
      <c r="E2503" s="10" t="str">
        <f>"644020240515232758182570"</f>
        <v>644020240515232758182570</v>
      </c>
      <c r="F2503" s="9"/>
    </row>
    <row r="2504" s="2" customFormat="1" ht="30" customHeight="1" spans="1:6">
      <c r="A2504" s="9">
        <v>2501</v>
      </c>
      <c r="B2504" s="10" t="s">
        <v>1230</v>
      </c>
      <c r="C2504" s="10" t="s">
        <v>1231</v>
      </c>
      <c r="D2504" s="10" t="s">
        <v>2475</v>
      </c>
      <c r="E2504" s="10" t="str">
        <f>"644020240516221726184263"</f>
        <v>644020240516221726184263</v>
      </c>
      <c r="F2504" s="9"/>
    </row>
    <row r="2505" s="2" customFormat="1" ht="30" customHeight="1" spans="1:6">
      <c r="A2505" s="9">
        <v>2502</v>
      </c>
      <c r="B2505" s="10" t="s">
        <v>1230</v>
      </c>
      <c r="C2505" s="10" t="s">
        <v>1231</v>
      </c>
      <c r="D2505" s="10" t="s">
        <v>2476</v>
      </c>
      <c r="E2505" s="10" t="str">
        <f>"644020240516215551184202"</f>
        <v>644020240516215551184202</v>
      </c>
      <c r="F2505" s="9"/>
    </row>
    <row r="2506" s="2" customFormat="1" ht="30" customHeight="1" spans="1:6">
      <c r="A2506" s="9">
        <v>2503</v>
      </c>
      <c r="B2506" s="10" t="s">
        <v>1230</v>
      </c>
      <c r="C2506" s="10" t="s">
        <v>1231</v>
      </c>
      <c r="D2506" s="10" t="s">
        <v>2477</v>
      </c>
      <c r="E2506" s="10" t="str">
        <f>"644020240516173424183837"</f>
        <v>644020240516173424183837</v>
      </c>
      <c r="F2506" s="9"/>
    </row>
    <row r="2507" s="2" customFormat="1" ht="30" customHeight="1" spans="1:6">
      <c r="A2507" s="9">
        <v>2504</v>
      </c>
      <c r="B2507" s="10" t="s">
        <v>1230</v>
      </c>
      <c r="C2507" s="10" t="s">
        <v>1231</v>
      </c>
      <c r="D2507" s="10" t="s">
        <v>2478</v>
      </c>
      <c r="E2507" s="10" t="str">
        <f>"644020240516215813184219"</f>
        <v>644020240516215813184219</v>
      </c>
      <c r="F2507" s="9"/>
    </row>
    <row r="2508" s="2" customFormat="1" ht="30" customHeight="1" spans="1:6">
      <c r="A2508" s="9">
        <v>2505</v>
      </c>
      <c r="B2508" s="10" t="s">
        <v>1230</v>
      </c>
      <c r="C2508" s="10" t="s">
        <v>1231</v>
      </c>
      <c r="D2508" s="10" t="s">
        <v>2479</v>
      </c>
      <c r="E2508" s="10" t="str">
        <f>"644020240516180018183882"</f>
        <v>644020240516180018183882</v>
      </c>
      <c r="F2508" s="9"/>
    </row>
    <row r="2509" s="2" customFormat="1" ht="30" customHeight="1" spans="1:6">
      <c r="A2509" s="9">
        <v>2506</v>
      </c>
      <c r="B2509" s="10" t="s">
        <v>1230</v>
      </c>
      <c r="C2509" s="10" t="s">
        <v>1231</v>
      </c>
      <c r="D2509" s="10" t="s">
        <v>2480</v>
      </c>
      <c r="E2509" s="10" t="str">
        <f>"644020240516213717184160"</f>
        <v>644020240516213717184160</v>
      </c>
      <c r="F2509" s="9"/>
    </row>
    <row r="2510" s="2" customFormat="1" ht="30" customHeight="1" spans="1:6">
      <c r="A2510" s="9">
        <v>2507</v>
      </c>
      <c r="B2510" s="10" t="s">
        <v>1230</v>
      </c>
      <c r="C2510" s="10" t="s">
        <v>1231</v>
      </c>
      <c r="D2510" s="10" t="s">
        <v>2481</v>
      </c>
      <c r="E2510" s="10" t="str">
        <f>"644020240516163357183700"</f>
        <v>644020240516163357183700</v>
      </c>
      <c r="F2510" s="9"/>
    </row>
    <row r="2511" s="2" customFormat="1" ht="30" customHeight="1" spans="1:6">
      <c r="A2511" s="9">
        <v>2508</v>
      </c>
      <c r="B2511" s="10" t="s">
        <v>1230</v>
      </c>
      <c r="C2511" s="10" t="s">
        <v>1231</v>
      </c>
      <c r="D2511" s="10" t="s">
        <v>2482</v>
      </c>
      <c r="E2511" s="10" t="str">
        <f>"644020240516223235184299"</f>
        <v>644020240516223235184299</v>
      </c>
      <c r="F2511" s="9"/>
    </row>
    <row r="2512" s="2" customFormat="1" ht="30" customHeight="1" spans="1:6">
      <c r="A2512" s="9">
        <v>2509</v>
      </c>
      <c r="B2512" s="10" t="s">
        <v>1230</v>
      </c>
      <c r="C2512" s="10" t="s">
        <v>1231</v>
      </c>
      <c r="D2512" s="10" t="s">
        <v>2483</v>
      </c>
      <c r="E2512" s="10" t="str">
        <f>"644020240516224430184326"</f>
        <v>644020240516224430184326</v>
      </c>
      <c r="F2512" s="9"/>
    </row>
    <row r="2513" s="2" customFormat="1" ht="30" customHeight="1" spans="1:6">
      <c r="A2513" s="9">
        <v>2510</v>
      </c>
      <c r="B2513" s="10" t="s">
        <v>1230</v>
      </c>
      <c r="C2513" s="10" t="s">
        <v>1231</v>
      </c>
      <c r="D2513" s="10" t="s">
        <v>2484</v>
      </c>
      <c r="E2513" s="10" t="str">
        <f>"644020240515165919181951"</f>
        <v>644020240515165919181951</v>
      </c>
      <c r="F2513" s="9"/>
    </row>
    <row r="2514" s="2" customFormat="1" ht="30" customHeight="1" spans="1:6">
      <c r="A2514" s="9">
        <v>2511</v>
      </c>
      <c r="B2514" s="10" t="s">
        <v>1230</v>
      </c>
      <c r="C2514" s="10" t="s">
        <v>1231</v>
      </c>
      <c r="D2514" s="10" t="s">
        <v>2485</v>
      </c>
      <c r="E2514" s="10" t="str">
        <f>"644020240516225558184351"</f>
        <v>644020240516225558184351</v>
      </c>
      <c r="F2514" s="9"/>
    </row>
    <row r="2515" s="2" customFormat="1" ht="30" customHeight="1" spans="1:6">
      <c r="A2515" s="9">
        <v>2512</v>
      </c>
      <c r="B2515" s="10" t="s">
        <v>1230</v>
      </c>
      <c r="C2515" s="10" t="s">
        <v>1231</v>
      </c>
      <c r="D2515" s="10" t="s">
        <v>2486</v>
      </c>
      <c r="E2515" s="10" t="str">
        <f>"644020240515223648182444"</f>
        <v>644020240515223648182444</v>
      </c>
      <c r="F2515" s="9"/>
    </row>
    <row r="2516" s="2" customFormat="1" ht="30" customHeight="1" spans="1:6">
      <c r="A2516" s="9">
        <v>2513</v>
      </c>
      <c r="B2516" s="10" t="s">
        <v>1230</v>
      </c>
      <c r="C2516" s="10" t="s">
        <v>1231</v>
      </c>
      <c r="D2516" s="10" t="s">
        <v>2487</v>
      </c>
      <c r="E2516" s="10" t="str">
        <f>"644020240516225438184346"</f>
        <v>644020240516225438184346</v>
      </c>
      <c r="F2516" s="9"/>
    </row>
    <row r="2517" s="2" customFormat="1" ht="30" customHeight="1" spans="1:6">
      <c r="A2517" s="9">
        <v>2514</v>
      </c>
      <c r="B2517" s="10" t="s">
        <v>1230</v>
      </c>
      <c r="C2517" s="10" t="s">
        <v>1231</v>
      </c>
      <c r="D2517" s="10" t="s">
        <v>2488</v>
      </c>
      <c r="E2517" s="10" t="str">
        <f>"644020240516224258184320"</f>
        <v>644020240516224258184320</v>
      </c>
      <c r="F2517" s="9"/>
    </row>
    <row r="2518" s="2" customFormat="1" ht="30" customHeight="1" spans="1:6">
      <c r="A2518" s="9">
        <v>2515</v>
      </c>
      <c r="B2518" s="10" t="s">
        <v>1230</v>
      </c>
      <c r="C2518" s="10" t="s">
        <v>1231</v>
      </c>
      <c r="D2518" s="10" t="s">
        <v>2489</v>
      </c>
      <c r="E2518" s="10" t="str">
        <f>"644020240516094744182920"</f>
        <v>644020240516094744182920</v>
      </c>
      <c r="F2518" s="9"/>
    </row>
    <row r="2519" s="2" customFormat="1" ht="30" customHeight="1" spans="1:6">
      <c r="A2519" s="9">
        <v>2516</v>
      </c>
      <c r="B2519" s="10" t="s">
        <v>1230</v>
      </c>
      <c r="C2519" s="10" t="s">
        <v>1231</v>
      </c>
      <c r="D2519" s="10" t="s">
        <v>2490</v>
      </c>
      <c r="E2519" s="10" t="str">
        <f>"644020240516222529184283"</f>
        <v>644020240516222529184283</v>
      </c>
      <c r="F2519" s="9"/>
    </row>
    <row r="2520" s="2" customFormat="1" ht="30" customHeight="1" spans="1:6">
      <c r="A2520" s="9">
        <v>2517</v>
      </c>
      <c r="B2520" s="10" t="s">
        <v>1230</v>
      </c>
      <c r="C2520" s="10" t="s">
        <v>1231</v>
      </c>
      <c r="D2520" s="10" t="s">
        <v>2491</v>
      </c>
      <c r="E2520" s="10" t="str">
        <f>"644020240515233613182583"</f>
        <v>644020240515233613182583</v>
      </c>
      <c r="F2520" s="9"/>
    </row>
    <row r="2521" s="2" customFormat="1" ht="30" customHeight="1" spans="1:6">
      <c r="A2521" s="9">
        <v>2518</v>
      </c>
      <c r="B2521" s="10" t="s">
        <v>1230</v>
      </c>
      <c r="C2521" s="10" t="s">
        <v>1231</v>
      </c>
      <c r="D2521" s="10" t="s">
        <v>2492</v>
      </c>
      <c r="E2521" s="10" t="str">
        <f>"644020240516224947184336"</f>
        <v>644020240516224947184336</v>
      </c>
      <c r="F2521" s="9"/>
    </row>
    <row r="2522" s="2" customFormat="1" ht="30" customHeight="1" spans="1:6">
      <c r="A2522" s="9">
        <v>2519</v>
      </c>
      <c r="B2522" s="10" t="s">
        <v>1230</v>
      </c>
      <c r="C2522" s="10" t="s">
        <v>1231</v>
      </c>
      <c r="D2522" s="10" t="s">
        <v>2493</v>
      </c>
      <c r="E2522" s="10" t="str">
        <f>"644020240516230704184368"</f>
        <v>644020240516230704184368</v>
      </c>
      <c r="F2522" s="9"/>
    </row>
    <row r="2523" s="2" customFormat="1" ht="30" customHeight="1" spans="1:6">
      <c r="A2523" s="9">
        <v>2520</v>
      </c>
      <c r="B2523" s="10" t="s">
        <v>1230</v>
      </c>
      <c r="C2523" s="10" t="s">
        <v>1231</v>
      </c>
      <c r="D2523" s="10" t="s">
        <v>2494</v>
      </c>
      <c r="E2523" s="10" t="str">
        <f>"644020240516092711182867"</f>
        <v>644020240516092711182867</v>
      </c>
      <c r="F2523" s="9"/>
    </row>
    <row r="2524" s="2" customFormat="1" ht="30" customHeight="1" spans="1:6">
      <c r="A2524" s="9">
        <v>2521</v>
      </c>
      <c r="B2524" s="10" t="s">
        <v>1230</v>
      </c>
      <c r="C2524" s="10" t="s">
        <v>1231</v>
      </c>
      <c r="D2524" s="10" t="s">
        <v>2495</v>
      </c>
      <c r="E2524" s="10" t="str">
        <f>"644020240516232027184394"</f>
        <v>644020240516232027184394</v>
      </c>
      <c r="F2524" s="9"/>
    </row>
    <row r="2525" s="2" customFormat="1" ht="30" customHeight="1" spans="1:6">
      <c r="A2525" s="9">
        <v>2522</v>
      </c>
      <c r="B2525" s="10" t="s">
        <v>1230</v>
      </c>
      <c r="C2525" s="10" t="s">
        <v>1231</v>
      </c>
      <c r="D2525" s="10" t="s">
        <v>2496</v>
      </c>
      <c r="E2525" s="10" t="str">
        <f>"644020240516222705184287"</f>
        <v>644020240516222705184287</v>
      </c>
      <c r="F2525" s="9"/>
    </row>
    <row r="2526" s="2" customFormat="1" ht="30" customHeight="1" spans="1:6">
      <c r="A2526" s="9">
        <v>2523</v>
      </c>
      <c r="B2526" s="10" t="s">
        <v>1230</v>
      </c>
      <c r="C2526" s="10" t="s">
        <v>1231</v>
      </c>
      <c r="D2526" s="10" t="s">
        <v>2497</v>
      </c>
      <c r="E2526" s="10" t="str">
        <f>"644020240516232703184405"</f>
        <v>644020240516232703184405</v>
      </c>
      <c r="F2526" s="9"/>
    </row>
    <row r="2527" s="2" customFormat="1" ht="30" customHeight="1" spans="1:6">
      <c r="A2527" s="9">
        <v>2524</v>
      </c>
      <c r="B2527" s="10" t="s">
        <v>1230</v>
      </c>
      <c r="C2527" s="10" t="s">
        <v>1231</v>
      </c>
      <c r="D2527" s="10" t="s">
        <v>2498</v>
      </c>
      <c r="E2527" s="10" t="str">
        <f>"644020240514211645180164"</f>
        <v>644020240514211645180164</v>
      </c>
      <c r="F2527" s="9"/>
    </row>
    <row r="2528" s="2" customFormat="1" ht="30" customHeight="1" spans="1:6">
      <c r="A2528" s="9">
        <v>2525</v>
      </c>
      <c r="B2528" s="10" t="s">
        <v>1230</v>
      </c>
      <c r="C2528" s="10" t="s">
        <v>1231</v>
      </c>
      <c r="D2528" s="10" t="s">
        <v>2499</v>
      </c>
      <c r="E2528" s="10" t="str">
        <f>"644020240514225122180436"</f>
        <v>644020240514225122180436</v>
      </c>
      <c r="F2528" s="9"/>
    </row>
    <row r="2529" s="2" customFormat="1" ht="30" customHeight="1" spans="1:6">
      <c r="A2529" s="9">
        <v>2526</v>
      </c>
      <c r="B2529" s="10" t="s">
        <v>1230</v>
      </c>
      <c r="C2529" s="10" t="s">
        <v>1231</v>
      </c>
      <c r="D2529" s="10" t="s">
        <v>2500</v>
      </c>
      <c r="E2529" s="10" t="str">
        <f>"644020240516234215184430"</f>
        <v>644020240516234215184430</v>
      </c>
      <c r="F2529" s="9"/>
    </row>
    <row r="2530" s="2" customFormat="1" ht="30" customHeight="1" spans="1:6">
      <c r="A2530" s="9">
        <v>2527</v>
      </c>
      <c r="B2530" s="10" t="s">
        <v>1230</v>
      </c>
      <c r="C2530" s="10" t="s">
        <v>1231</v>
      </c>
      <c r="D2530" s="10" t="s">
        <v>2501</v>
      </c>
      <c r="E2530" s="10" t="str">
        <f>"644020240515131231181440"</f>
        <v>644020240515131231181440</v>
      </c>
      <c r="F2530" s="9"/>
    </row>
    <row r="2531" s="2" customFormat="1" ht="30" customHeight="1" spans="1:6">
      <c r="A2531" s="9">
        <v>2528</v>
      </c>
      <c r="B2531" s="10" t="s">
        <v>1230</v>
      </c>
      <c r="C2531" s="10" t="s">
        <v>1231</v>
      </c>
      <c r="D2531" s="10" t="s">
        <v>2502</v>
      </c>
      <c r="E2531" s="10" t="str">
        <f>"644020240512141910169519"</f>
        <v>644020240512141910169519</v>
      </c>
      <c r="F2531" s="9"/>
    </row>
    <row r="2532" s="2" customFormat="1" ht="30" customHeight="1" spans="1:6">
      <c r="A2532" s="9">
        <v>2529</v>
      </c>
      <c r="B2532" s="10" t="s">
        <v>1230</v>
      </c>
      <c r="C2532" s="10" t="s">
        <v>1231</v>
      </c>
      <c r="D2532" s="10" t="s">
        <v>2503</v>
      </c>
      <c r="E2532" s="10" t="str">
        <f>"644020240517001022184471"</f>
        <v>644020240517001022184471</v>
      </c>
      <c r="F2532" s="9"/>
    </row>
    <row r="2533" s="2" customFormat="1" ht="30" customHeight="1" spans="1:6">
      <c r="A2533" s="9">
        <v>2530</v>
      </c>
      <c r="B2533" s="10" t="s">
        <v>1230</v>
      </c>
      <c r="C2533" s="10" t="s">
        <v>1231</v>
      </c>
      <c r="D2533" s="10" t="s">
        <v>2504</v>
      </c>
      <c r="E2533" s="10" t="str">
        <f>"644020240517002145184490"</f>
        <v>644020240517002145184490</v>
      </c>
      <c r="F2533" s="9"/>
    </row>
    <row r="2534" s="2" customFormat="1" ht="30" customHeight="1" spans="1:6">
      <c r="A2534" s="9">
        <v>2531</v>
      </c>
      <c r="B2534" s="10" t="s">
        <v>1230</v>
      </c>
      <c r="C2534" s="10" t="s">
        <v>1231</v>
      </c>
      <c r="D2534" s="10" t="s">
        <v>2505</v>
      </c>
      <c r="E2534" s="10" t="str">
        <f>"644020240517004639184512"</f>
        <v>644020240517004639184512</v>
      </c>
      <c r="F2534" s="9"/>
    </row>
    <row r="2535" s="2" customFormat="1" ht="30" customHeight="1" spans="1:6">
      <c r="A2535" s="9">
        <v>2532</v>
      </c>
      <c r="B2535" s="10" t="s">
        <v>1230</v>
      </c>
      <c r="C2535" s="10" t="s">
        <v>1231</v>
      </c>
      <c r="D2535" s="10" t="s">
        <v>2506</v>
      </c>
      <c r="E2535" s="10" t="str">
        <f>"644020240517003144184498"</f>
        <v>644020240517003144184498</v>
      </c>
      <c r="F2535" s="9"/>
    </row>
    <row r="2536" s="2" customFormat="1" ht="30" customHeight="1" spans="1:6">
      <c r="A2536" s="9">
        <v>2533</v>
      </c>
      <c r="B2536" s="10" t="s">
        <v>1230</v>
      </c>
      <c r="C2536" s="10" t="s">
        <v>1231</v>
      </c>
      <c r="D2536" s="10" t="s">
        <v>2507</v>
      </c>
      <c r="E2536" s="10" t="str">
        <f>"644020240517014254184537"</f>
        <v>644020240517014254184537</v>
      </c>
      <c r="F2536" s="9"/>
    </row>
    <row r="2537" s="2" customFormat="1" ht="30" customHeight="1" spans="1:6">
      <c r="A2537" s="9">
        <v>2534</v>
      </c>
      <c r="B2537" s="10" t="s">
        <v>1230</v>
      </c>
      <c r="C2537" s="10" t="s">
        <v>1231</v>
      </c>
      <c r="D2537" s="10" t="s">
        <v>2508</v>
      </c>
      <c r="E2537" s="10" t="str">
        <f>"644020240517022623184551"</f>
        <v>644020240517022623184551</v>
      </c>
      <c r="F2537" s="9"/>
    </row>
    <row r="2538" s="2" customFormat="1" ht="30" customHeight="1" spans="1:6">
      <c r="A2538" s="9">
        <v>2535</v>
      </c>
      <c r="B2538" s="10" t="s">
        <v>1230</v>
      </c>
      <c r="C2538" s="10" t="s">
        <v>1231</v>
      </c>
      <c r="D2538" s="10" t="s">
        <v>2509</v>
      </c>
      <c r="E2538" s="10" t="str">
        <f>"644020240517074154184582"</f>
        <v>644020240517074154184582</v>
      </c>
      <c r="F2538" s="9"/>
    </row>
    <row r="2539" s="2" customFormat="1" ht="30" customHeight="1" spans="1:6">
      <c r="A2539" s="9">
        <v>2536</v>
      </c>
      <c r="B2539" s="10" t="s">
        <v>1230</v>
      </c>
      <c r="C2539" s="10" t="s">
        <v>1231</v>
      </c>
      <c r="D2539" s="10" t="s">
        <v>2510</v>
      </c>
      <c r="E2539" s="10" t="str">
        <f>"644020240512183618170423"</f>
        <v>644020240512183618170423</v>
      </c>
      <c r="F2539" s="9"/>
    </row>
    <row r="2540" s="2" customFormat="1" ht="30" customHeight="1" spans="1:6">
      <c r="A2540" s="9">
        <v>2537</v>
      </c>
      <c r="B2540" s="10" t="s">
        <v>1230</v>
      </c>
      <c r="C2540" s="10" t="s">
        <v>1231</v>
      </c>
      <c r="D2540" s="10" t="s">
        <v>2511</v>
      </c>
      <c r="E2540" s="10" t="str">
        <f>"644020240514154330179348"</f>
        <v>644020240514154330179348</v>
      </c>
      <c r="F2540" s="9"/>
    </row>
    <row r="2541" s="2" customFormat="1" ht="30" customHeight="1" spans="1:6">
      <c r="A2541" s="9">
        <v>2538</v>
      </c>
      <c r="B2541" s="10" t="s">
        <v>1230</v>
      </c>
      <c r="C2541" s="10" t="s">
        <v>1231</v>
      </c>
      <c r="D2541" s="10" t="s">
        <v>2512</v>
      </c>
      <c r="E2541" s="10" t="str">
        <f>"644020240517075436184592"</f>
        <v>644020240517075436184592</v>
      </c>
      <c r="F2541" s="9"/>
    </row>
    <row r="2542" s="2" customFormat="1" ht="30" customHeight="1" spans="1:6">
      <c r="A2542" s="9">
        <v>2539</v>
      </c>
      <c r="B2542" s="10" t="s">
        <v>1230</v>
      </c>
      <c r="C2542" s="10" t="s">
        <v>1231</v>
      </c>
      <c r="D2542" s="10" t="s">
        <v>659</v>
      </c>
      <c r="E2542" s="10" t="str">
        <f>"644020240517075458184593"</f>
        <v>644020240517075458184593</v>
      </c>
      <c r="F2542" s="9"/>
    </row>
    <row r="2543" s="2" customFormat="1" ht="30" customHeight="1" spans="1:6">
      <c r="A2543" s="9">
        <v>2540</v>
      </c>
      <c r="B2543" s="10" t="s">
        <v>1230</v>
      </c>
      <c r="C2543" s="10" t="s">
        <v>1231</v>
      </c>
      <c r="D2543" s="10" t="s">
        <v>2513</v>
      </c>
      <c r="E2543" s="10" t="str">
        <f>"644020240516090400182813"</f>
        <v>644020240516090400182813</v>
      </c>
      <c r="F2543" s="9"/>
    </row>
    <row r="2544" s="2" customFormat="1" ht="30" customHeight="1" spans="1:6">
      <c r="A2544" s="9">
        <v>2541</v>
      </c>
      <c r="B2544" s="10" t="s">
        <v>1230</v>
      </c>
      <c r="C2544" s="10" t="s">
        <v>1231</v>
      </c>
      <c r="D2544" s="10" t="s">
        <v>2514</v>
      </c>
      <c r="E2544" s="10" t="str">
        <f>"644020240517082445184624"</f>
        <v>644020240517082445184624</v>
      </c>
      <c r="F2544" s="9"/>
    </row>
    <row r="2545" s="2" customFormat="1" ht="30" customHeight="1" spans="1:6">
      <c r="A2545" s="9">
        <v>2542</v>
      </c>
      <c r="B2545" s="10" t="s">
        <v>1230</v>
      </c>
      <c r="C2545" s="10" t="s">
        <v>1231</v>
      </c>
      <c r="D2545" s="10" t="s">
        <v>2515</v>
      </c>
      <c r="E2545" s="10" t="str">
        <f>"644020240517083237184639"</f>
        <v>644020240517083237184639</v>
      </c>
      <c r="F2545" s="9"/>
    </row>
    <row r="2546" s="2" customFormat="1" ht="30" customHeight="1" spans="1:6">
      <c r="A2546" s="9">
        <v>2543</v>
      </c>
      <c r="B2546" s="10" t="s">
        <v>1230</v>
      </c>
      <c r="C2546" s="10" t="s">
        <v>1231</v>
      </c>
      <c r="D2546" s="10" t="s">
        <v>2516</v>
      </c>
      <c r="E2546" s="10" t="str">
        <f>"644020240517082258184620"</f>
        <v>644020240517082258184620</v>
      </c>
      <c r="F2546" s="9"/>
    </row>
    <row r="2547" s="2" customFormat="1" ht="30" customHeight="1" spans="1:6">
      <c r="A2547" s="9">
        <v>2544</v>
      </c>
      <c r="B2547" s="10" t="s">
        <v>1230</v>
      </c>
      <c r="C2547" s="10" t="s">
        <v>1231</v>
      </c>
      <c r="D2547" s="10" t="s">
        <v>2517</v>
      </c>
      <c r="E2547" s="10" t="str">
        <f>"644020240517083612184643"</f>
        <v>644020240517083612184643</v>
      </c>
      <c r="F2547" s="9"/>
    </row>
    <row r="2548" s="2" customFormat="1" ht="30" customHeight="1" spans="1:6">
      <c r="A2548" s="9">
        <v>2545</v>
      </c>
      <c r="B2548" s="10" t="s">
        <v>1230</v>
      </c>
      <c r="C2548" s="10" t="s">
        <v>1231</v>
      </c>
      <c r="D2548" s="10" t="s">
        <v>2518</v>
      </c>
      <c r="E2548" s="10" t="str">
        <f>"644020240513194533176675"</f>
        <v>644020240513194533176675</v>
      </c>
      <c r="F2548" s="9"/>
    </row>
    <row r="2549" s="2" customFormat="1" ht="30" customHeight="1" spans="1:6">
      <c r="A2549" s="9">
        <v>2546</v>
      </c>
      <c r="B2549" s="10" t="s">
        <v>1230</v>
      </c>
      <c r="C2549" s="10" t="s">
        <v>1231</v>
      </c>
      <c r="D2549" s="10" t="s">
        <v>2519</v>
      </c>
      <c r="E2549" s="10" t="str">
        <f>"644020240516160607183629"</f>
        <v>644020240516160607183629</v>
      </c>
      <c r="F2549" s="9"/>
    </row>
    <row r="2550" s="2" customFormat="1" ht="30" customHeight="1" spans="1:6">
      <c r="A2550" s="9">
        <v>2547</v>
      </c>
      <c r="B2550" s="10" t="s">
        <v>1230</v>
      </c>
      <c r="C2550" s="10" t="s">
        <v>1231</v>
      </c>
      <c r="D2550" s="10" t="s">
        <v>2520</v>
      </c>
      <c r="E2550" s="10" t="str">
        <f>"644020240517084125184650"</f>
        <v>644020240517084125184650</v>
      </c>
      <c r="F2550" s="9"/>
    </row>
    <row r="2551" s="2" customFormat="1" ht="30" customHeight="1" spans="1:6">
      <c r="A2551" s="9">
        <v>2548</v>
      </c>
      <c r="B2551" s="10" t="s">
        <v>1230</v>
      </c>
      <c r="C2551" s="10" t="s">
        <v>1231</v>
      </c>
      <c r="D2551" s="10" t="s">
        <v>2521</v>
      </c>
      <c r="E2551" s="10" t="str">
        <f>"644020240517084453184654"</f>
        <v>644020240517084453184654</v>
      </c>
      <c r="F2551" s="9"/>
    </row>
    <row r="2552" s="2" customFormat="1" ht="30" customHeight="1" spans="1:6">
      <c r="A2552" s="9">
        <v>2549</v>
      </c>
      <c r="B2552" s="10" t="s">
        <v>1230</v>
      </c>
      <c r="C2552" s="10" t="s">
        <v>1231</v>
      </c>
      <c r="D2552" s="10" t="s">
        <v>2522</v>
      </c>
      <c r="E2552" s="10" t="str">
        <f>"644020240516003544182664"</f>
        <v>644020240516003544182664</v>
      </c>
      <c r="F2552" s="9"/>
    </row>
    <row r="2553" s="2" customFormat="1" ht="30" customHeight="1" spans="1:6">
      <c r="A2553" s="9">
        <v>2550</v>
      </c>
      <c r="B2553" s="10" t="s">
        <v>1230</v>
      </c>
      <c r="C2553" s="10" t="s">
        <v>1231</v>
      </c>
      <c r="D2553" s="10" t="s">
        <v>2523</v>
      </c>
      <c r="E2553" s="10" t="str">
        <f>"644020240517085633184678"</f>
        <v>644020240517085633184678</v>
      </c>
      <c r="F2553" s="9"/>
    </row>
    <row r="2554" s="2" customFormat="1" ht="30" customHeight="1" spans="1:6">
      <c r="A2554" s="9">
        <v>2551</v>
      </c>
      <c r="B2554" s="10" t="s">
        <v>1230</v>
      </c>
      <c r="C2554" s="10" t="s">
        <v>1231</v>
      </c>
      <c r="D2554" s="10" t="s">
        <v>2524</v>
      </c>
      <c r="E2554" s="10" t="str">
        <f>"644020240517080839184607"</f>
        <v>644020240517080839184607</v>
      </c>
      <c r="F2554" s="9"/>
    </row>
    <row r="2555" s="2" customFormat="1" ht="30" customHeight="1" spans="1:6">
      <c r="A2555" s="9">
        <v>2552</v>
      </c>
      <c r="B2555" s="10" t="s">
        <v>1230</v>
      </c>
      <c r="C2555" s="10" t="s">
        <v>1231</v>
      </c>
      <c r="D2555" s="10" t="s">
        <v>2525</v>
      </c>
      <c r="E2555" s="10" t="str">
        <f>"644020240513091724172670"</f>
        <v>644020240513091724172670</v>
      </c>
      <c r="F2555" s="9"/>
    </row>
    <row r="2556" s="2" customFormat="1" ht="30" customHeight="1" spans="1:6">
      <c r="A2556" s="9">
        <v>2553</v>
      </c>
      <c r="B2556" s="10" t="s">
        <v>1230</v>
      </c>
      <c r="C2556" s="10" t="s">
        <v>1231</v>
      </c>
      <c r="D2556" s="10" t="s">
        <v>2526</v>
      </c>
      <c r="E2556" s="10" t="str">
        <f>"644020240517073846184580"</f>
        <v>644020240517073846184580</v>
      </c>
      <c r="F2556" s="9"/>
    </row>
    <row r="2557" s="2" customFormat="1" ht="30" customHeight="1" spans="1:6">
      <c r="A2557" s="9">
        <v>2554</v>
      </c>
      <c r="B2557" s="10" t="s">
        <v>1230</v>
      </c>
      <c r="C2557" s="10" t="s">
        <v>1231</v>
      </c>
      <c r="D2557" s="10" t="s">
        <v>2527</v>
      </c>
      <c r="E2557" s="10" t="str">
        <f>"644020240517001559184481"</f>
        <v>644020240517001559184481</v>
      </c>
      <c r="F2557" s="9"/>
    </row>
    <row r="2558" s="2" customFormat="1" ht="30" customHeight="1" spans="1:6">
      <c r="A2558" s="9">
        <v>2555</v>
      </c>
      <c r="B2558" s="10" t="s">
        <v>1230</v>
      </c>
      <c r="C2558" s="10" t="s">
        <v>1231</v>
      </c>
      <c r="D2558" s="10" t="s">
        <v>2528</v>
      </c>
      <c r="E2558" s="10" t="str">
        <f>"644020240517092814184740"</f>
        <v>644020240517092814184740</v>
      </c>
      <c r="F2558" s="9"/>
    </row>
    <row r="2559" s="2" customFormat="1" ht="30" customHeight="1" spans="1:6">
      <c r="A2559" s="9">
        <v>2556</v>
      </c>
      <c r="B2559" s="10" t="s">
        <v>1230</v>
      </c>
      <c r="C2559" s="10" t="s">
        <v>1231</v>
      </c>
      <c r="D2559" s="10" t="s">
        <v>2529</v>
      </c>
      <c r="E2559" s="10" t="str">
        <f>"644020240514155628179389"</f>
        <v>644020240514155628179389</v>
      </c>
      <c r="F2559" s="9"/>
    </row>
    <row r="2560" s="2" customFormat="1" ht="30" customHeight="1" spans="1:6">
      <c r="A2560" s="9">
        <v>2557</v>
      </c>
      <c r="B2560" s="10" t="s">
        <v>1230</v>
      </c>
      <c r="C2560" s="10" t="s">
        <v>1231</v>
      </c>
      <c r="D2560" s="10" t="s">
        <v>2530</v>
      </c>
      <c r="E2560" s="10" t="str">
        <f>"644020240516183808183946"</f>
        <v>644020240516183808183946</v>
      </c>
      <c r="F2560" s="9"/>
    </row>
    <row r="2561" s="2" customFormat="1" ht="30" customHeight="1" spans="1:6">
      <c r="A2561" s="9">
        <v>2558</v>
      </c>
      <c r="B2561" s="10" t="s">
        <v>1230</v>
      </c>
      <c r="C2561" s="10" t="s">
        <v>1231</v>
      </c>
      <c r="D2561" s="10" t="s">
        <v>2531</v>
      </c>
      <c r="E2561" s="10" t="str">
        <f>"644020240517092344184731"</f>
        <v>644020240517092344184731</v>
      </c>
      <c r="F2561" s="9"/>
    </row>
    <row r="2562" s="2" customFormat="1" ht="30" customHeight="1" spans="1:6">
      <c r="A2562" s="9">
        <v>2559</v>
      </c>
      <c r="B2562" s="10" t="s">
        <v>1230</v>
      </c>
      <c r="C2562" s="10" t="s">
        <v>1231</v>
      </c>
      <c r="D2562" s="10" t="s">
        <v>2532</v>
      </c>
      <c r="E2562" s="10" t="str">
        <f>"644020240516192240184006"</f>
        <v>644020240516192240184006</v>
      </c>
      <c r="F2562" s="9"/>
    </row>
    <row r="2563" s="2" customFormat="1" ht="30" customHeight="1" spans="1:6">
      <c r="A2563" s="9">
        <v>2560</v>
      </c>
      <c r="B2563" s="10" t="s">
        <v>1230</v>
      </c>
      <c r="C2563" s="10" t="s">
        <v>1231</v>
      </c>
      <c r="D2563" s="10" t="s">
        <v>2533</v>
      </c>
      <c r="E2563" s="10" t="str">
        <f>"644020240517092232184727"</f>
        <v>644020240517092232184727</v>
      </c>
      <c r="F2563" s="9"/>
    </row>
    <row r="2564" s="2" customFormat="1" ht="30" customHeight="1" spans="1:6">
      <c r="A2564" s="9">
        <v>2561</v>
      </c>
      <c r="B2564" s="10" t="s">
        <v>1230</v>
      </c>
      <c r="C2564" s="10" t="s">
        <v>1231</v>
      </c>
      <c r="D2564" s="10" t="s">
        <v>2534</v>
      </c>
      <c r="E2564" s="10" t="str">
        <f>"644020240517095548184802"</f>
        <v>644020240517095548184802</v>
      </c>
      <c r="F2564" s="9"/>
    </row>
    <row r="2565" s="2" customFormat="1" ht="30" customHeight="1" spans="1:6">
      <c r="A2565" s="9">
        <v>2562</v>
      </c>
      <c r="B2565" s="10" t="s">
        <v>1230</v>
      </c>
      <c r="C2565" s="10" t="s">
        <v>1231</v>
      </c>
      <c r="D2565" s="10" t="s">
        <v>2535</v>
      </c>
      <c r="E2565" s="10" t="str">
        <f>"644020240517080934184609"</f>
        <v>644020240517080934184609</v>
      </c>
      <c r="F2565" s="9"/>
    </row>
    <row r="2566" s="2" customFormat="1" ht="30" customHeight="1" spans="1:6">
      <c r="A2566" s="9">
        <v>2563</v>
      </c>
      <c r="B2566" s="10" t="s">
        <v>1230</v>
      </c>
      <c r="C2566" s="10" t="s">
        <v>1231</v>
      </c>
      <c r="D2566" s="10" t="s">
        <v>2536</v>
      </c>
      <c r="E2566" s="10" t="str">
        <f>"644020240514173844179728"</f>
        <v>644020240514173844179728</v>
      </c>
      <c r="F2566" s="9"/>
    </row>
    <row r="2567" s="2" customFormat="1" ht="30" customHeight="1" spans="1:6">
      <c r="A2567" s="9">
        <v>2564</v>
      </c>
      <c r="B2567" s="10" t="s">
        <v>1230</v>
      </c>
      <c r="C2567" s="10" t="s">
        <v>1231</v>
      </c>
      <c r="D2567" s="10" t="s">
        <v>2537</v>
      </c>
      <c r="E2567" s="10" t="str">
        <f>"644020240516100236182961"</f>
        <v>644020240516100236182961</v>
      </c>
      <c r="F2567" s="9"/>
    </row>
    <row r="2568" s="2" customFormat="1" ht="30" customHeight="1" spans="1:6">
      <c r="A2568" s="9">
        <v>2565</v>
      </c>
      <c r="B2568" s="10" t="s">
        <v>1230</v>
      </c>
      <c r="C2568" s="10" t="s">
        <v>1231</v>
      </c>
      <c r="D2568" s="10" t="s">
        <v>2538</v>
      </c>
      <c r="E2568" s="10" t="str">
        <f>"644020240516172622183825"</f>
        <v>644020240516172622183825</v>
      </c>
      <c r="F2568" s="9"/>
    </row>
    <row r="2569" s="2" customFormat="1" ht="30" customHeight="1" spans="1:6">
      <c r="A2569" s="9">
        <v>2566</v>
      </c>
      <c r="B2569" s="10" t="s">
        <v>1230</v>
      </c>
      <c r="C2569" s="10" t="s">
        <v>1231</v>
      </c>
      <c r="D2569" s="10" t="s">
        <v>2539</v>
      </c>
      <c r="E2569" s="10" t="str">
        <f>"644020240516203729184082"</f>
        <v>644020240516203729184082</v>
      </c>
      <c r="F2569" s="9"/>
    </row>
    <row r="2570" s="2" customFormat="1" ht="30" customHeight="1" spans="1:6">
      <c r="A2570" s="9">
        <v>2567</v>
      </c>
      <c r="B2570" s="10" t="s">
        <v>1230</v>
      </c>
      <c r="C2570" s="10" t="s">
        <v>1231</v>
      </c>
      <c r="D2570" s="10" t="s">
        <v>2540</v>
      </c>
      <c r="E2570" s="10" t="str">
        <f>"644020240516101651182991"</f>
        <v>644020240516101651182991</v>
      </c>
      <c r="F2570" s="9"/>
    </row>
    <row r="2571" s="2" customFormat="1" ht="30" customHeight="1" spans="1:6">
      <c r="A2571" s="9">
        <v>2568</v>
      </c>
      <c r="B2571" s="10" t="s">
        <v>1230</v>
      </c>
      <c r="C2571" s="10" t="s">
        <v>1231</v>
      </c>
      <c r="D2571" s="10" t="s">
        <v>2541</v>
      </c>
      <c r="E2571" s="10" t="str">
        <f>"644020240517095647184804"</f>
        <v>644020240517095647184804</v>
      </c>
      <c r="F2571" s="9"/>
    </row>
    <row r="2572" s="2" customFormat="1" ht="30" customHeight="1" spans="1:6">
      <c r="A2572" s="9">
        <v>2569</v>
      </c>
      <c r="B2572" s="10" t="s">
        <v>1230</v>
      </c>
      <c r="C2572" s="10" t="s">
        <v>1231</v>
      </c>
      <c r="D2572" s="10" t="s">
        <v>2542</v>
      </c>
      <c r="E2572" s="10" t="str">
        <f>"644020240517101440184846"</f>
        <v>644020240517101440184846</v>
      </c>
      <c r="F2572" s="9"/>
    </row>
    <row r="2573" s="2" customFormat="1" ht="30" customHeight="1" spans="1:6">
      <c r="A2573" s="9">
        <v>2570</v>
      </c>
      <c r="B2573" s="10" t="s">
        <v>1230</v>
      </c>
      <c r="C2573" s="10" t="s">
        <v>1231</v>
      </c>
      <c r="D2573" s="10" t="s">
        <v>2543</v>
      </c>
      <c r="E2573" s="10" t="str">
        <f>"644020240517095035184786"</f>
        <v>644020240517095035184786</v>
      </c>
      <c r="F2573" s="9"/>
    </row>
    <row r="2574" s="2" customFormat="1" ht="30" customHeight="1" spans="1:6">
      <c r="A2574" s="9">
        <v>2571</v>
      </c>
      <c r="B2574" s="10" t="s">
        <v>1230</v>
      </c>
      <c r="C2574" s="10" t="s">
        <v>1231</v>
      </c>
      <c r="D2574" s="10" t="s">
        <v>2544</v>
      </c>
      <c r="E2574" s="10" t="str">
        <f>"644020240517101842184861"</f>
        <v>644020240517101842184861</v>
      </c>
      <c r="F2574" s="9"/>
    </row>
    <row r="2575" s="2" customFormat="1" ht="30" customHeight="1" spans="1:6">
      <c r="A2575" s="9">
        <v>2572</v>
      </c>
      <c r="B2575" s="10" t="s">
        <v>1230</v>
      </c>
      <c r="C2575" s="10" t="s">
        <v>1231</v>
      </c>
      <c r="D2575" s="10" t="s">
        <v>2545</v>
      </c>
      <c r="E2575" s="10" t="str">
        <f>"644020240517101451184848"</f>
        <v>644020240517101451184848</v>
      </c>
      <c r="F2575" s="9"/>
    </row>
    <row r="2576" s="2" customFormat="1" ht="30" customHeight="1" spans="1:6">
      <c r="A2576" s="9">
        <v>2573</v>
      </c>
      <c r="B2576" s="10" t="s">
        <v>1230</v>
      </c>
      <c r="C2576" s="10" t="s">
        <v>1231</v>
      </c>
      <c r="D2576" s="10" t="s">
        <v>2546</v>
      </c>
      <c r="E2576" s="10" t="str">
        <f>"644020240517100441184824"</f>
        <v>644020240517100441184824</v>
      </c>
      <c r="F2576" s="9"/>
    </row>
    <row r="2577" s="2" customFormat="1" ht="30" customHeight="1" spans="1:6">
      <c r="A2577" s="9">
        <v>2574</v>
      </c>
      <c r="B2577" s="10" t="s">
        <v>1230</v>
      </c>
      <c r="C2577" s="10" t="s">
        <v>1231</v>
      </c>
      <c r="D2577" s="10" t="s">
        <v>2547</v>
      </c>
      <c r="E2577" s="10" t="str">
        <f>"644020240516231445184380"</f>
        <v>644020240516231445184380</v>
      </c>
      <c r="F2577" s="11"/>
    </row>
    <row r="2578" s="2" customFormat="1" ht="30" customHeight="1" spans="1:6">
      <c r="A2578" s="9">
        <v>2575</v>
      </c>
      <c r="B2578" s="10" t="s">
        <v>1230</v>
      </c>
      <c r="C2578" s="10" t="s">
        <v>1231</v>
      </c>
      <c r="D2578" s="10" t="s">
        <v>2548</v>
      </c>
      <c r="E2578" s="10" t="str">
        <f>"644020240517101349184845"</f>
        <v>644020240517101349184845</v>
      </c>
      <c r="F2578" s="9"/>
    </row>
    <row r="2579" s="2" customFormat="1" ht="30" customHeight="1" spans="1:6">
      <c r="A2579" s="9">
        <v>2576</v>
      </c>
      <c r="B2579" s="10" t="s">
        <v>1230</v>
      </c>
      <c r="C2579" s="10" t="s">
        <v>1231</v>
      </c>
      <c r="D2579" s="10" t="s">
        <v>2549</v>
      </c>
      <c r="E2579" s="10" t="str">
        <f>"644020240517014332184538"</f>
        <v>644020240517014332184538</v>
      </c>
      <c r="F2579" s="9"/>
    </row>
    <row r="2580" s="2" customFormat="1" ht="30" customHeight="1" spans="1:6">
      <c r="A2580" s="9">
        <v>2577</v>
      </c>
      <c r="B2580" s="10" t="s">
        <v>1230</v>
      </c>
      <c r="C2580" s="10" t="s">
        <v>1231</v>
      </c>
      <c r="D2580" s="10" t="s">
        <v>2550</v>
      </c>
      <c r="E2580" s="10" t="str">
        <f>"644020240517103055184881"</f>
        <v>644020240517103055184881</v>
      </c>
      <c r="F2580" s="9"/>
    </row>
    <row r="2581" s="2" customFormat="1" ht="30" customHeight="1" spans="1:6">
      <c r="A2581" s="9">
        <v>2578</v>
      </c>
      <c r="B2581" s="10" t="s">
        <v>1230</v>
      </c>
      <c r="C2581" s="10" t="s">
        <v>1231</v>
      </c>
      <c r="D2581" s="10" t="s">
        <v>2551</v>
      </c>
      <c r="E2581" s="10" t="str">
        <f>"644020240517095144184791"</f>
        <v>644020240517095144184791</v>
      </c>
      <c r="F2581" s="9"/>
    </row>
    <row r="2582" s="2" customFormat="1" ht="30" customHeight="1" spans="1:6">
      <c r="A2582" s="9">
        <v>2579</v>
      </c>
      <c r="B2582" s="10" t="s">
        <v>1230</v>
      </c>
      <c r="C2582" s="10" t="s">
        <v>1231</v>
      </c>
      <c r="D2582" s="10" t="s">
        <v>2552</v>
      </c>
      <c r="E2582" s="10" t="str">
        <f>"644020240516215916184224"</f>
        <v>644020240516215916184224</v>
      </c>
      <c r="F2582" s="9"/>
    </row>
    <row r="2583" s="2" customFormat="1" ht="30" customHeight="1" spans="1:6">
      <c r="A2583" s="9">
        <v>2580</v>
      </c>
      <c r="B2583" s="10" t="s">
        <v>1230</v>
      </c>
      <c r="C2583" s="10" t="s">
        <v>1231</v>
      </c>
      <c r="D2583" s="10" t="s">
        <v>2553</v>
      </c>
      <c r="E2583" s="10" t="str">
        <f>"644020240517103449184890"</f>
        <v>644020240517103449184890</v>
      </c>
      <c r="F2583" s="9"/>
    </row>
    <row r="2584" s="2" customFormat="1" ht="30" customHeight="1" spans="1:6">
      <c r="A2584" s="9">
        <v>2581</v>
      </c>
      <c r="B2584" s="10" t="s">
        <v>1230</v>
      </c>
      <c r="C2584" s="10" t="s">
        <v>1231</v>
      </c>
      <c r="D2584" s="10" t="s">
        <v>2554</v>
      </c>
      <c r="E2584" s="10" t="str">
        <f>"644020240517101443184847"</f>
        <v>644020240517101443184847</v>
      </c>
      <c r="F2584" s="9"/>
    </row>
    <row r="2585" s="2" customFormat="1" ht="30" customHeight="1" spans="1:6">
      <c r="A2585" s="9">
        <v>2582</v>
      </c>
      <c r="B2585" s="10" t="s">
        <v>1230</v>
      </c>
      <c r="C2585" s="10" t="s">
        <v>1231</v>
      </c>
      <c r="D2585" s="10" t="s">
        <v>2555</v>
      </c>
      <c r="E2585" s="10" t="str">
        <f>"644020240516115951183222"</f>
        <v>644020240516115951183222</v>
      </c>
      <c r="F2585" s="9"/>
    </row>
    <row r="2586" s="2" customFormat="1" ht="30" customHeight="1" spans="1:6">
      <c r="A2586" s="9">
        <v>2583</v>
      </c>
      <c r="B2586" s="10" t="s">
        <v>1230</v>
      </c>
      <c r="C2586" s="10" t="s">
        <v>1231</v>
      </c>
      <c r="D2586" s="10" t="s">
        <v>2556</v>
      </c>
      <c r="E2586" s="10" t="str">
        <f>"644020240516102810183024"</f>
        <v>644020240516102810183024</v>
      </c>
      <c r="F2586" s="9"/>
    </row>
    <row r="2587" s="2" customFormat="1" ht="30" customHeight="1" spans="1:6">
      <c r="A2587" s="9">
        <v>2584</v>
      </c>
      <c r="B2587" s="10" t="s">
        <v>1230</v>
      </c>
      <c r="C2587" s="10" t="s">
        <v>1231</v>
      </c>
      <c r="D2587" s="10" t="s">
        <v>2557</v>
      </c>
      <c r="E2587" s="10" t="str">
        <f>"644020240517102048184864"</f>
        <v>644020240517102048184864</v>
      </c>
      <c r="F2587" s="9"/>
    </row>
    <row r="2588" s="2" customFormat="1" ht="30" customHeight="1" spans="1:6">
      <c r="A2588" s="9">
        <v>2585</v>
      </c>
      <c r="B2588" s="10" t="s">
        <v>1230</v>
      </c>
      <c r="C2588" s="10" t="s">
        <v>1231</v>
      </c>
      <c r="D2588" s="10" t="s">
        <v>2558</v>
      </c>
      <c r="E2588" s="10" t="str">
        <f>"644020240517104002184907"</f>
        <v>644020240517104002184907</v>
      </c>
      <c r="F2588" s="9"/>
    </row>
    <row r="2589" s="2" customFormat="1" ht="30" customHeight="1" spans="1:6">
      <c r="A2589" s="9">
        <v>2586</v>
      </c>
      <c r="B2589" s="10" t="s">
        <v>1230</v>
      </c>
      <c r="C2589" s="10" t="s">
        <v>1231</v>
      </c>
      <c r="D2589" s="10" t="s">
        <v>2559</v>
      </c>
      <c r="E2589" s="10" t="str">
        <f>"644020240517104722184922"</f>
        <v>644020240517104722184922</v>
      </c>
      <c r="F2589" s="9"/>
    </row>
    <row r="2590" s="2" customFormat="1" ht="30" customHeight="1" spans="1:6">
      <c r="A2590" s="9">
        <v>2587</v>
      </c>
      <c r="B2590" s="10" t="s">
        <v>1230</v>
      </c>
      <c r="C2590" s="10" t="s">
        <v>1231</v>
      </c>
      <c r="D2590" s="10" t="s">
        <v>2560</v>
      </c>
      <c r="E2590" s="10" t="str">
        <f>"644020240514161737179456"</f>
        <v>644020240514161737179456</v>
      </c>
      <c r="F2590" s="9"/>
    </row>
    <row r="2591" s="2" customFormat="1" ht="30" customHeight="1" spans="1:6">
      <c r="A2591" s="9">
        <v>2588</v>
      </c>
      <c r="B2591" s="10" t="s">
        <v>1230</v>
      </c>
      <c r="C2591" s="10" t="s">
        <v>1231</v>
      </c>
      <c r="D2591" s="10" t="s">
        <v>2561</v>
      </c>
      <c r="E2591" s="10" t="str">
        <f>"644020240517102728184874"</f>
        <v>644020240517102728184874</v>
      </c>
      <c r="F2591" s="9"/>
    </row>
    <row r="2592" s="2" customFormat="1" ht="30" customHeight="1" spans="1:6">
      <c r="A2592" s="9">
        <v>2589</v>
      </c>
      <c r="B2592" s="10" t="s">
        <v>1230</v>
      </c>
      <c r="C2592" s="10" t="s">
        <v>1231</v>
      </c>
      <c r="D2592" s="10" t="s">
        <v>2562</v>
      </c>
      <c r="E2592" s="10" t="str">
        <f>"644020240515103303181059"</f>
        <v>644020240515103303181059</v>
      </c>
      <c r="F2592" s="9"/>
    </row>
    <row r="2593" s="2" customFormat="1" ht="30" customHeight="1" spans="1:6">
      <c r="A2593" s="9">
        <v>2590</v>
      </c>
      <c r="B2593" s="10" t="s">
        <v>1230</v>
      </c>
      <c r="C2593" s="10" t="s">
        <v>1231</v>
      </c>
      <c r="D2593" s="10" t="s">
        <v>2563</v>
      </c>
      <c r="E2593" s="10" t="str">
        <f>"644020240517105429184939"</f>
        <v>644020240517105429184939</v>
      </c>
      <c r="F2593" s="9"/>
    </row>
    <row r="2594" s="2" customFormat="1" ht="30" customHeight="1" spans="1:6">
      <c r="A2594" s="9">
        <v>2591</v>
      </c>
      <c r="B2594" s="10" t="s">
        <v>1230</v>
      </c>
      <c r="C2594" s="10" t="s">
        <v>1231</v>
      </c>
      <c r="D2594" s="10" t="s">
        <v>2564</v>
      </c>
      <c r="E2594" s="10" t="str">
        <f>"644020240517112355185008"</f>
        <v>644020240517112355185008</v>
      </c>
      <c r="F2594" s="9"/>
    </row>
    <row r="2595" s="2" customFormat="1" ht="30" customHeight="1" spans="1:6">
      <c r="A2595" s="9">
        <v>2592</v>
      </c>
      <c r="B2595" s="10" t="s">
        <v>1230</v>
      </c>
      <c r="C2595" s="10" t="s">
        <v>1231</v>
      </c>
      <c r="D2595" s="10" t="s">
        <v>2565</v>
      </c>
      <c r="E2595" s="10" t="str">
        <f>"644020240517110904184970"</f>
        <v>644020240517110904184970</v>
      </c>
      <c r="F2595" s="9"/>
    </row>
    <row r="2596" s="2" customFormat="1" ht="30" customHeight="1" spans="1:6">
      <c r="A2596" s="9">
        <v>2593</v>
      </c>
      <c r="B2596" s="10" t="s">
        <v>1230</v>
      </c>
      <c r="C2596" s="10" t="s">
        <v>1231</v>
      </c>
      <c r="D2596" s="10" t="s">
        <v>2566</v>
      </c>
      <c r="E2596" s="10" t="str">
        <f>"644020240517103313184884"</f>
        <v>644020240517103313184884</v>
      </c>
      <c r="F2596" s="9"/>
    </row>
    <row r="2597" s="2" customFormat="1" ht="30" customHeight="1" spans="1:6">
      <c r="A2597" s="9">
        <v>2594</v>
      </c>
      <c r="B2597" s="10" t="s">
        <v>1230</v>
      </c>
      <c r="C2597" s="10" t="s">
        <v>1231</v>
      </c>
      <c r="D2597" s="10" t="s">
        <v>2567</v>
      </c>
      <c r="E2597" s="10" t="str">
        <f>"644020240516151053183504"</f>
        <v>644020240516151053183504</v>
      </c>
      <c r="F2597" s="9"/>
    </row>
    <row r="2598" s="2" customFormat="1" ht="30" customHeight="1" spans="1:6">
      <c r="A2598" s="9">
        <v>2595</v>
      </c>
      <c r="B2598" s="10" t="s">
        <v>1230</v>
      </c>
      <c r="C2598" s="10" t="s">
        <v>1231</v>
      </c>
      <c r="D2598" s="10" t="s">
        <v>2568</v>
      </c>
      <c r="E2598" s="10" t="str">
        <f>"644020240517114125185045"</f>
        <v>644020240517114125185045</v>
      </c>
      <c r="F2598" s="9"/>
    </row>
    <row r="2599" s="2" customFormat="1" ht="30" customHeight="1" spans="1:6">
      <c r="A2599" s="9">
        <v>2596</v>
      </c>
      <c r="B2599" s="10" t="s">
        <v>1230</v>
      </c>
      <c r="C2599" s="10" t="s">
        <v>1231</v>
      </c>
      <c r="D2599" s="10" t="s">
        <v>2569</v>
      </c>
      <c r="E2599" s="10" t="str">
        <f>"644020240516161437183648"</f>
        <v>644020240516161437183648</v>
      </c>
      <c r="F2599" s="9"/>
    </row>
    <row r="2600" s="2" customFormat="1" ht="30" customHeight="1" spans="1:6">
      <c r="A2600" s="9">
        <v>2597</v>
      </c>
      <c r="B2600" s="10" t="s">
        <v>1230</v>
      </c>
      <c r="C2600" s="10" t="s">
        <v>1231</v>
      </c>
      <c r="D2600" s="10" t="s">
        <v>2570</v>
      </c>
      <c r="E2600" s="10" t="str">
        <f>"644020240517085822184681"</f>
        <v>644020240517085822184681</v>
      </c>
      <c r="F2600" s="9"/>
    </row>
    <row r="2601" s="2" customFormat="1" ht="30" customHeight="1" spans="1:6">
      <c r="A2601" s="9">
        <v>2598</v>
      </c>
      <c r="B2601" s="10" t="s">
        <v>1230</v>
      </c>
      <c r="C2601" s="10" t="s">
        <v>1231</v>
      </c>
      <c r="D2601" s="10" t="s">
        <v>1244</v>
      </c>
      <c r="E2601" s="10" t="str">
        <f>"644020240513122459174266"</f>
        <v>644020240513122459174266</v>
      </c>
      <c r="F2601" s="9"/>
    </row>
    <row r="2602" s="2" customFormat="1" ht="30" customHeight="1" spans="1:6">
      <c r="A2602" s="9">
        <v>2599</v>
      </c>
      <c r="B2602" s="10" t="s">
        <v>1230</v>
      </c>
      <c r="C2602" s="10" t="s">
        <v>1231</v>
      </c>
      <c r="D2602" s="10" t="s">
        <v>2571</v>
      </c>
      <c r="E2602" s="10" t="str">
        <f>"644020240517112036184995"</f>
        <v>644020240517112036184995</v>
      </c>
      <c r="F2602" s="9"/>
    </row>
    <row r="2603" s="2" customFormat="1" ht="30" customHeight="1" spans="1:6">
      <c r="A2603" s="9">
        <v>2600</v>
      </c>
      <c r="B2603" s="10" t="s">
        <v>1230</v>
      </c>
      <c r="C2603" s="10" t="s">
        <v>1231</v>
      </c>
      <c r="D2603" s="10" t="s">
        <v>2572</v>
      </c>
      <c r="E2603" s="10" t="str">
        <f>"644020240516161623183655"</f>
        <v>644020240516161623183655</v>
      </c>
      <c r="F2603" s="9"/>
    </row>
    <row r="2604" s="2" customFormat="1" ht="30" customHeight="1" spans="1:6">
      <c r="A2604" s="9">
        <v>2601</v>
      </c>
      <c r="B2604" s="10" t="s">
        <v>1230</v>
      </c>
      <c r="C2604" s="10" t="s">
        <v>1231</v>
      </c>
      <c r="D2604" s="10" t="s">
        <v>2573</v>
      </c>
      <c r="E2604" s="10" t="str">
        <f>"644020240517115328185066"</f>
        <v>644020240517115328185066</v>
      </c>
      <c r="F2604" s="9"/>
    </row>
    <row r="2605" s="2" customFormat="1" ht="30" customHeight="1" spans="1:6">
      <c r="A2605" s="9">
        <v>2602</v>
      </c>
      <c r="B2605" s="10" t="s">
        <v>1230</v>
      </c>
      <c r="C2605" s="10" t="s">
        <v>1231</v>
      </c>
      <c r="D2605" s="10" t="s">
        <v>2574</v>
      </c>
      <c r="E2605" s="10" t="str">
        <f>"644020240517111556184985"</f>
        <v>644020240517111556184985</v>
      </c>
      <c r="F2605" s="9"/>
    </row>
    <row r="2606" s="2" customFormat="1" ht="30" customHeight="1" spans="1:6">
      <c r="A2606" s="9">
        <v>2603</v>
      </c>
      <c r="B2606" s="10" t="s">
        <v>1230</v>
      </c>
      <c r="C2606" s="10" t="s">
        <v>1231</v>
      </c>
      <c r="D2606" s="10" t="s">
        <v>2575</v>
      </c>
      <c r="E2606" s="10" t="str">
        <f>"644020240517120141185078"</f>
        <v>644020240517120141185078</v>
      </c>
      <c r="F2606" s="9"/>
    </row>
    <row r="2607" s="2" customFormat="1" ht="30" customHeight="1" spans="1:6">
      <c r="A2607" s="9">
        <v>2604</v>
      </c>
      <c r="B2607" s="10" t="s">
        <v>1230</v>
      </c>
      <c r="C2607" s="10" t="s">
        <v>1231</v>
      </c>
      <c r="D2607" s="10" t="s">
        <v>2576</v>
      </c>
      <c r="E2607" s="10" t="str">
        <f>"644020240517103344184888"</f>
        <v>644020240517103344184888</v>
      </c>
      <c r="F2607" s="9"/>
    </row>
    <row r="2608" s="2" customFormat="1" ht="30" customHeight="1" spans="1:6">
      <c r="A2608" s="9">
        <v>2605</v>
      </c>
      <c r="B2608" s="10" t="s">
        <v>1230</v>
      </c>
      <c r="C2608" s="10" t="s">
        <v>1231</v>
      </c>
      <c r="D2608" s="10" t="s">
        <v>2577</v>
      </c>
      <c r="E2608" s="10" t="str">
        <f>"644020240517112557185012"</f>
        <v>644020240517112557185012</v>
      </c>
      <c r="F2608" s="9"/>
    </row>
    <row r="2609" s="2" customFormat="1" ht="30" customHeight="1" spans="1:6">
      <c r="A2609" s="9">
        <v>2606</v>
      </c>
      <c r="B2609" s="10" t="s">
        <v>1230</v>
      </c>
      <c r="C2609" s="10" t="s">
        <v>1231</v>
      </c>
      <c r="D2609" s="10" t="s">
        <v>1280</v>
      </c>
      <c r="E2609" s="10" t="str">
        <f>"644020240512173805170243"</f>
        <v>644020240512173805170243</v>
      </c>
      <c r="F2609" s="9"/>
    </row>
    <row r="2610" s="2" customFormat="1" ht="30" customHeight="1" spans="1:6">
      <c r="A2610" s="9">
        <v>2607</v>
      </c>
      <c r="B2610" s="10" t="s">
        <v>1230</v>
      </c>
      <c r="C2610" s="10" t="s">
        <v>1231</v>
      </c>
      <c r="D2610" s="10" t="s">
        <v>2578</v>
      </c>
      <c r="E2610" s="10" t="str">
        <f>"644020240516232740184407"</f>
        <v>644020240516232740184407</v>
      </c>
      <c r="F2610" s="9"/>
    </row>
    <row r="2611" s="2" customFormat="1" ht="30" customHeight="1" spans="1:6">
      <c r="A2611" s="9">
        <v>2608</v>
      </c>
      <c r="B2611" s="10" t="s">
        <v>1230</v>
      </c>
      <c r="C2611" s="10" t="s">
        <v>1231</v>
      </c>
      <c r="D2611" s="10" t="s">
        <v>2579</v>
      </c>
      <c r="E2611" s="10" t="str">
        <f>"644020240517122232185112"</f>
        <v>644020240517122232185112</v>
      </c>
      <c r="F2611" s="9"/>
    </row>
    <row r="2612" s="2" customFormat="1" ht="30" customHeight="1" spans="1:6">
      <c r="A2612" s="9">
        <v>2609</v>
      </c>
      <c r="B2612" s="10" t="s">
        <v>1230</v>
      </c>
      <c r="C2612" s="10" t="s">
        <v>1231</v>
      </c>
      <c r="D2612" s="10" t="s">
        <v>2580</v>
      </c>
      <c r="E2612" s="10" t="str">
        <f>"644020240517121135185096"</f>
        <v>644020240517121135185096</v>
      </c>
      <c r="F2612" s="9"/>
    </row>
    <row r="2613" s="2" customFormat="1" ht="30" customHeight="1" spans="1:6">
      <c r="A2613" s="9">
        <v>2610</v>
      </c>
      <c r="B2613" s="10" t="s">
        <v>1230</v>
      </c>
      <c r="C2613" s="10" t="s">
        <v>1231</v>
      </c>
      <c r="D2613" s="10" t="s">
        <v>2581</v>
      </c>
      <c r="E2613" s="10" t="str">
        <f>"644020240514114215178770"</f>
        <v>644020240514114215178770</v>
      </c>
      <c r="F2613" s="9"/>
    </row>
    <row r="2614" s="2" customFormat="1" ht="30" customHeight="1" spans="1:6">
      <c r="A2614" s="9">
        <v>2611</v>
      </c>
      <c r="B2614" s="10" t="s">
        <v>1230</v>
      </c>
      <c r="C2614" s="10" t="s">
        <v>1231</v>
      </c>
      <c r="D2614" s="10" t="s">
        <v>2582</v>
      </c>
      <c r="E2614" s="10" t="str">
        <f>"644020240517101005184832"</f>
        <v>644020240517101005184832</v>
      </c>
      <c r="F2614" s="9"/>
    </row>
    <row r="2615" s="2" customFormat="1" ht="30" customHeight="1" spans="1:6">
      <c r="A2615" s="9">
        <v>2612</v>
      </c>
      <c r="B2615" s="10" t="s">
        <v>1230</v>
      </c>
      <c r="C2615" s="10" t="s">
        <v>1231</v>
      </c>
      <c r="D2615" s="10" t="s">
        <v>2583</v>
      </c>
      <c r="E2615" s="10" t="str">
        <f>"644020240517115149185061"</f>
        <v>644020240517115149185061</v>
      </c>
      <c r="F2615" s="9"/>
    </row>
    <row r="2616" s="2" customFormat="1" ht="30" customHeight="1" spans="1:6">
      <c r="A2616" s="9">
        <v>2613</v>
      </c>
      <c r="B2616" s="10" t="s">
        <v>1230</v>
      </c>
      <c r="C2616" s="10" t="s">
        <v>1231</v>
      </c>
      <c r="D2616" s="10" t="s">
        <v>2584</v>
      </c>
      <c r="E2616" s="10" t="str">
        <f>"644020240517121922185107"</f>
        <v>644020240517121922185107</v>
      </c>
      <c r="F2616" s="9"/>
    </row>
    <row r="2617" s="2" customFormat="1" ht="30" customHeight="1" spans="1:6">
      <c r="A2617" s="9">
        <v>2614</v>
      </c>
      <c r="B2617" s="10" t="s">
        <v>1230</v>
      </c>
      <c r="C2617" s="10" t="s">
        <v>1231</v>
      </c>
      <c r="D2617" s="10" t="s">
        <v>2585</v>
      </c>
      <c r="E2617" s="10" t="str">
        <f>"644020240514095442178243"</f>
        <v>644020240514095442178243</v>
      </c>
      <c r="F2617" s="9"/>
    </row>
    <row r="2618" s="2" customFormat="1" ht="30" customHeight="1" spans="1:6">
      <c r="A2618" s="9">
        <v>2615</v>
      </c>
      <c r="B2618" s="10" t="s">
        <v>1230</v>
      </c>
      <c r="C2618" s="10" t="s">
        <v>1231</v>
      </c>
      <c r="D2618" s="10" t="s">
        <v>2586</v>
      </c>
      <c r="E2618" s="10" t="str">
        <f>"644020240512092031168199"</f>
        <v>644020240512092031168199</v>
      </c>
      <c r="F2618" s="9"/>
    </row>
    <row r="2619" s="2" customFormat="1" ht="30" customHeight="1" spans="1:6">
      <c r="A2619" s="9">
        <v>2616</v>
      </c>
      <c r="B2619" s="10" t="s">
        <v>1230</v>
      </c>
      <c r="C2619" s="10" t="s">
        <v>1231</v>
      </c>
      <c r="D2619" s="10" t="s">
        <v>2587</v>
      </c>
      <c r="E2619" s="10" t="str">
        <f>"644020240513130831174572"</f>
        <v>644020240513130831174572</v>
      </c>
      <c r="F2619" s="9"/>
    </row>
    <row r="2620" s="2" customFormat="1" ht="30" customHeight="1" spans="1:6">
      <c r="A2620" s="9">
        <v>2617</v>
      </c>
      <c r="B2620" s="10" t="s">
        <v>1230</v>
      </c>
      <c r="C2620" s="10" t="s">
        <v>1231</v>
      </c>
      <c r="D2620" s="10" t="s">
        <v>2588</v>
      </c>
      <c r="E2620" s="10" t="str">
        <f>"644020240517124532185164"</f>
        <v>644020240517124532185164</v>
      </c>
      <c r="F2620" s="9"/>
    </row>
    <row r="2621" s="2" customFormat="1" ht="30" customHeight="1" spans="1:6">
      <c r="A2621" s="9">
        <v>2618</v>
      </c>
      <c r="B2621" s="10" t="s">
        <v>1230</v>
      </c>
      <c r="C2621" s="10" t="s">
        <v>1231</v>
      </c>
      <c r="D2621" s="10" t="s">
        <v>2589</v>
      </c>
      <c r="E2621" s="10" t="str">
        <f>"644020240517130818185222"</f>
        <v>644020240517130818185222</v>
      </c>
      <c r="F2621" s="9"/>
    </row>
    <row r="2622" s="2" customFormat="1" ht="30" customHeight="1" spans="1:6">
      <c r="A2622" s="9">
        <v>2619</v>
      </c>
      <c r="B2622" s="10" t="s">
        <v>1230</v>
      </c>
      <c r="C2622" s="10" t="s">
        <v>1231</v>
      </c>
      <c r="D2622" s="10" t="s">
        <v>2590</v>
      </c>
      <c r="E2622" s="10" t="str">
        <f>"644020240517130852185224"</f>
        <v>644020240517130852185224</v>
      </c>
      <c r="F2622" s="9"/>
    </row>
    <row r="2623" s="2" customFormat="1" ht="30" customHeight="1" spans="1:6">
      <c r="A2623" s="9">
        <v>2620</v>
      </c>
      <c r="B2623" s="10" t="s">
        <v>1230</v>
      </c>
      <c r="C2623" s="10" t="s">
        <v>1231</v>
      </c>
      <c r="D2623" s="10" t="s">
        <v>2591</v>
      </c>
      <c r="E2623" s="10" t="str">
        <f>"644020240517095207184793"</f>
        <v>644020240517095207184793</v>
      </c>
      <c r="F2623" s="9"/>
    </row>
    <row r="2624" s="2" customFormat="1" ht="30" customHeight="1" spans="1:6">
      <c r="A2624" s="9">
        <v>2621</v>
      </c>
      <c r="B2624" s="10" t="s">
        <v>1230</v>
      </c>
      <c r="C2624" s="10" t="s">
        <v>1231</v>
      </c>
      <c r="D2624" s="10" t="s">
        <v>2592</v>
      </c>
      <c r="E2624" s="10" t="str">
        <f>"644020240515125256181403"</f>
        <v>644020240515125256181403</v>
      </c>
      <c r="F2624" s="9"/>
    </row>
    <row r="2625" s="2" customFormat="1" ht="30" customHeight="1" spans="1:6">
      <c r="A2625" s="9">
        <v>2622</v>
      </c>
      <c r="B2625" s="10" t="s">
        <v>1230</v>
      </c>
      <c r="C2625" s="10" t="s">
        <v>1231</v>
      </c>
      <c r="D2625" s="10" t="s">
        <v>2593</v>
      </c>
      <c r="E2625" s="10" t="str">
        <f>"644020240517130823185223"</f>
        <v>644020240517130823185223</v>
      </c>
      <c r="F2625" s="9"/>
    </row>
    <row r="2626" s="2" customFormat="1" ht="30" customHeight="1" spans="1:6">
      <c r="A2626" s="9">
        <v>2623</v>
      </c>
      <c r="B2626" s="10" t="s">
        <v>1230</v>
      </c>
      <c r="C2626" s="10" t="s">
        <v>1231</v>
      </c>
      <c r="D2626" s="10" t="s">
        <v>2594</v>
      </c>
      <c r="E2626" s="10" t="str">
        <f>"644020240516235720184454"</f>
        <v>644020240516235720184454</v>
      </c>
      <c r="F2626" s="9"/>
    </row>
    <row r="2627" s="2" customFormat="1" ht="30" customHeight="1" spans="1:6">
      <c r="A2627" s="9">
        <v>2624</v>
      </c>
      <c r="B2627" s="10" t="s">
        <v>1230</v>
      </c>
      <c r="C2627" s="10" t="s">
        <v>1231</v>
      </c>
      <c r="D2627" s="10" t="s">
        <v>2595</v>
      </c>
      <c r="E2627" s="10" t="str">
        <f>"644020240517132033185248"</f>
        <v>644020240517132033185248</v>
      </c>
      <c r="F2627" s="9"/>
    </row>
    <row r="2628" s="2" customFormat="1" ht="30" customHeight="1" spans="1:6">
      <c r="A2628" s="9">
        <v>2625</v>
      </c>
      <c r="B2628" s="10" t="s">
        <v>1230</v>
      </c>
      <c r="C2628" s="10" t="s">
        <v>1231</v>
      </c>
      <c r="D2628" s="10" t="s">
        <v>2596</v>
      </c>
      <c r="E2628" s="10" t="str">
        <f>"644020240513104925173594"</f>
        <v>644020240513104925173594</v>
      </c>
      <c r="F2628" s="9"/>
    </row>
    <row r="2629" s="2" customFormat="1" ht="30" customHeight="1" spans="1:6">
      <c r="A2629" s="9">
        <v>2626</v>
      </c>
      <c r="B2629" s="10" t="s">
        <v>1230</v>
      </c>
      <c r="C2629" s="10" t="s">
        <v>1231</v>
      </c>
      <c r="D2629" s="10" t="s">
        <v>2597</v>
      </c>
      <c r="E2629" s="10" t="str">
        <f>"644020240517100437184822"</f>
        <v>644020240517100437184822</v>
      </c>
      <c r="F2629" s="9"/>
    </row>
    <row r="2630" s="2" customFormat="1" ht="30" customHeight="1" spans="1:6">
      <c r="A2630" s="9">
        <v>2627</v>
      </c>
      <c r="B2630" s="10" t="s">
        <v>1230</v>
      </c>
      <c r="C2630" s="10" t="s">
        <v>1231</v>
      </c>
      <c r="D2630" s="10" t="s">
        <v>2598</v>
      </c>
      <c r="E2630" s="10" t="str">
        <f>"644020240517132619185256"</f>
        <v>644020240517132619185256</v>
      </c>
      <c r="F2630" s="9"/>
    </row>
    <row r="2631" s="2" customFormat="1" ht="30" customHeight="1" spans="1:6">
      <c r="A2631" s="9">
        <v>2628</v>
      </c>
      <c r="B2631" s="10" t="s">
        <v>1230</v>
      </c>
      <c r="C2631" s="10" t="s">
        <v>1231</v>
      </c>
      <c r="D2631" s="10" t="s">
        <v>2599</v>
      </c>
      <c r="E2631" s="10" t="str">
        <f>"644020240515224227182459"</f>
        <v>644020240515224227182459</v>
      </c>
      <c r="F2631" s="9"/>
    </row>
    <row r="2632" s="2" customFormat="1" ht="30" customHeight="1" spans="1:6">
      <c r="A2632" s="9">
        <v>2629</v>
      </c>
      <c r="B2632" s="10" t="s">
        <v>1230</v>
      </c>
      <c r="C2632" s="10" t="s">
        <v>1231</v>
      </c>
      <c r="D2632" s="10" t="s">
        <v>2600</v>
      </c>
      <c r="E2632" s="10" t="str">
        <f>"644020240517130921185226"</f>
        <v>644020240517130921185226</v>
      </c>
      <c r="F2632" s="9"/>
    </row>
    <row r="2633" s="2" customFormat="1" ht="30" customHeight="1" spans="1:6">
      <c r="A2633" s="9">
        <v>2630</v>
      </c>
      <c r="B2633" s="10" t="s">
        <v>1230</v>
      </c>
      <c r="C2633" s="10" t="s">
        <v>1231</v>
      </c>
      <c r="D2633" s="10" t="s">
        <v>2601</v>
      </c>
      <c r="E2633" s="10" t="str">
        <f>"644020240512104441168646"</f>
        <v>644020240512104441168646</v>
      </c>
      <c r="F2633" s="9"/>
    </row>
    <row r="2634" s="2" customFormat="1" ht="30" customHeight="1" spans="1:6">
      <c r="A2634" s="9">
        <v>2631</v>
      </c>
      <c r="B2634" s="10" t="s">
        <v>1230</v>
      </c>
      <c r="C2634" s="10" t="s">
        <v>1231</v>
      </c>
      <c r="D2634" s="10" t="s">
        <v>2602</v>
      </c>
      <c r="E2634" s="10" t="str">
        <f>"644020240512160951169914"</f>
        <v>644020240512160951169914</v>
      </c>
      <c r="F2634" s="9"/>
    </row>
    <row r="2635" s="2" customFormat="1" ht="30" customHeight="1" spans="1:6">
      <c r="A2635" s="9">
        <v>2632</v>
      </c>
      <c r="B2635" s="10" t="s">
        <v>1230</v>
      </c>
      <c r="C2635" s="10" t="s">
        <v>1231</v>
      </c>
      <c r="D2635" s="10" t="s">
        <v>2603</v>
      </c>
      <c r="E2635" s="10" t="str">
        <f>"644020240516130406183337"</f>
        <v>644020240516130406183337</v>
      </c>
      <c r="F2635" s="9"/>
    </row>
    <row r="2636" s="2" customFormat="1" ht="30" customHeight="1" spans="1:6">
      <c r="A2636" s="9">
        <v>2633</v>
      </c>
      <c r="B2636" s="10" t="s">
        <v>1230</v>
      </c>
      <c r="C2636" s="10" t="s">
        <v>1231</v>
      </c>
      <c r="D2636" s="10" t="s">
        <v>2604</v>
      </c>
      <c r="E2636" s="10" t="str">
        <f>"644020240515095421180930"</f>
        <v>644020240515095421180930</v>
      </c>
      <c r="F2636" s="9"/>
    </row>
    <row r="2637" s="2" customFormat="1" ht="30" customHeight="1" spans="1:6">
      <c r="A2637" s="9">
        <v>2634</v>
      </c>
      <c r="B2637" s="10" t="s">
        <v>1230</v>
      </c>
      <c r="C2637" s="10" t="s">
        <v>1231</v>
      </c>
      <c r="D2637" s="10" t="s">
        <v>2605</v>
      </c>
      <c r="E2637" s="10" t="str">
        <f>"644020240517135450185302"</f>
        <v>644020240517135450185302</v>
      </c>
      <c r="F2637" s="9"/>
    </row>
    <row r="2638" s="2" customFormat="1" ht="30" customHeight="1" spans="1:6">
      <c r="A2638" s="9">
        <v>2635</v>
      </c>
      <c r="B2638" s="10" t="s">
        <v>1230</v>
      </c>
      <c r="C2638" s="10" t="s">
        <v>1231</v>
      </c>
      <c r="D2638" s="10" t="s">
        <v>2606</v>
      </c>
      <c r="E2638" s="10" t="str">
        <f>"644020240516183103183934"</f>
        <v>644020240516183103183934</v>
      </c>
      <c r="F2638" s="9"/>
    </row>
    <row r="2639" s="2" customFormat="1" ht="30" customHeight="1" spans="1:6">
      <c r="A2639" s="9">
        <v>2636</v>
      </c>
      <c r="B2639" s="10" t="s">
        <v>1230</v>
      </c>
      <c r="C2639" s="10" t="s">
        <v>1231</v>
      </c>
      <c r="D2639" s="10" t="s">
        <v>2607</v>
      </c>
      <c r="E2639" s="10" t="str">
        <f>"644020240517103730184896"</f>
        <v>644020240517103730184896</v>
      </c>
      <c r="F2639" s="9"/>
    </row>
    <row r="2640" s="2" customFormat="1" ht="30" customHeight="1" spans="1:6">
      <c r="A2640" s="9">
        <v>2637</v>
      </c>
      <c r="B2640" s="10" t="s">
        <v>1230</v>
      </c>
      <c r="C2640" s="10" t="s">
        <v>1231</v>
      </c>
      <c r="D2640" s="10" t="s">
        <v>2608</v>
      </c>
      <c r="E2640" s="10" t="str">
        <f>"644020240517142208185353"</f>
        <v>644020240517142208185353</v>
      </c>
      <c r="F2640" s="9"/>
    </row>
    <row r="2641" s="2" customFormat="1" ht="30" customHeight="1" spans="1:6">
      <c r="A2641" s="9">
        <v>2638</v>
      </c>
      <c r="B2641" s="10" t="s">
        <v>1230</v>
      </c>
      <c r="C2641" s="10" t="s">
        <v>1231</v>
      </c>
      <c r="D2641" s="10" t="s">
        <v>2609</v>
      </c>
      <c r="E2641" s="10" t="str">
        <f>"644020240517130044185198"</f>
        <v>644020240517130044185198</v>
      </c>
      <c r="F2641" s="9"/>
    </row>
    <row r="2642" s="2" customFormat="1" ht="30" customHeight="1" spans="1:6">
      <c r="A2642" s="9">
        <v>2639</v>
      </c>
      <c r="B2642" s="10" t="s">
        <v>1230</v>
      </c>
      <c r="C2642" s="10" t="s">
        <v>1231</v>
      </c>
      <c r="D2642" s="10" t="s">
        <v>2610</v>
      </c>
      <c r="E2642" s="10" t="str">
        <f>"644020240515090058180761"</f>
        <v>644020240515090058180761</v>
      </c>
      <c r="F2642" s="9"/>
    </row>
    <row r="2643" s="2" customFormat="1" ht="30" customHeight="1" spans="1:6">
      <c r="A2643" s="9">
        <v>2640</v>
      </c>
      <c r="B2643" s="10" t="s">
        <v>1230</v>
      </c>
      <c r="C2643" s="10" t="s">
        <v>1231</v>
      </c>
      <c r="D2643" s="10" t="s">
        <v>2611</v>
      </c>
      <c r="E2643" s="10" t="str">
        <f>"644020240517101028184835"</f>
        <v>644020240517101028184835</v>
      </c>
      <c r="F2643" s="9"/>
    </row>
    <row r="2644" s="2" customFormat="1" ht="30" customHeight="1" spans="1:6">
      <c r="A2644" s="9">
        <v>2641</v>
      </c>
      <c r="B2644" s="10" t="s">
        <v>1230</v>
      </c>
      <c r="C2644" s="10" t="s">
        <v>1231</v>
      </c>
      <c r="D2644" s="10" t="s">
        <v>2612</v>
      </c>
      <c r="E2644" s="10" t="str">
        <f>"644020240517113456185033"</f>
        <v>644020240517113456185033</v>
      </c>
      <c r="F2644" s="9"/>
    </row>
    <row r="2645" s="2" customFormat="1" ht="30" customHeight="1" spans="1:6">
      <c r="A2645" s="9">
        <v>2642</v>
      </c>
      <c r="B2645" s="10" t="s">
        <v>1230</v>
      </c>
      <c r="C2645" s="10" t="s">
        <v>1231</v>
      </c>
      <c r="D2645" s="10" t="s">
        <v>2613</v>
      </c>
      <c r="E2645" s="10" t="str">
        <f>"644020240517134908185294"</f>
        <v>644020240517134908185294</v>
      </c>
      <c r="F2645" s="9"/>
    </row>
    <row r="2646" s="2" customFormat="1" ht="30" customHeight="1" spans="1:6">
      <c r="A2646" s="9">
        <v>2643</v>
      </c>
      <c r="B2646" s="10" t="s">
        <v>1230</v>
      </c>
      <c r="C2646" s="10" t="s">
        <v>1231</v>
      </c>
      <c r="D2646" s="10" t="s">
        <v>2614</v>
      </c>
      <c r="E2646" s="10" t="str">
        <f>"644020240517140903185327"</f>
        <v>644020240517140903185327</v>
      </c>
      <c r="F2646" s="9"/>
    </row>
    <row r="2647" s="2" customFormat="1" ht="30" customHeight="1" spans="1:6">
      <c r="A2647" s="9">
        <v>2644</v>
      </c>
      <c r="B2647" s="10" t="s">
        <v>1230</v>
      </c>
      <c r="C2647" s="10" t="s">
        <v>1231</v>
      </c>
      <c r="D2647" s="10" t="s">
        <v>2615</v>
      </c>
      <c r="E2647" s="10" t="str">
        <f>"644020240517111937184992"</f>
        <v>644020240517111937184992</v>
      </c>
      <c r="F2647" s="9"/>
    </row>
    <row r="2648" s="2" customFormat="1" ht="30" customHeight="1" spans="1:6">
      <c r="A2648" s="9">
        <v>2645</v>
      </c>
      <c r="B2648" s="10" t="s">
        <v>1230</v>
      </c>
      <c r="C2648" s="10" t="s">
        <v>1231</v>
      </c>
      <c r="D2648" s="10" t="s">
        <v>826</v>
      </c>
      <c r="E2648" s="10" t="str">
        <f>"644020240517145332185408"</f>
        <v>644020240517145332185408</v>
      </c>
      <c r="F2648" s="9"/>
    </row>
    <row r="2649" s="2" customFormat="1" ht="30" customHeight="1" spans="1:6">
      <c r="A2649" s="9">
        <v>2646</v>
      </c>
      <c r="B2649" s="10" t="s">
        <v>1230</v>
      </c>
      <c r="C2649" s="10" t="s">
        <v>1231</v>
      </c>
      <c r="D2649" s="10" t="s">
        <v>2616</v>
      </c>
      <c r="E2649" s="10" t="str">
        <f>"644020240516105155183081"</f>
        <v>644020240516105155183081</v>
      </c>
      <c r="F2649" s="9"/>
    </row>
    <row r="2650" s="2" customFormat="1" ht="30" customHeight="1" spans="1:6">
      <c r="A2650" s="9">
        <v>2647</v>
      </c>
      <c r="B2650" s="10" t="s">
        <v>1230</v>
      </c>
      <c r="C2650" s="10" t="s">
        <v>1231</v>
      </c>
      <c r="D2650" s="10" t="s">
        <v>2617</v>
      </c>
      <c r="E2650" s="10" t="str">
        <f>"644020240516183253183939"</f>
        <v>644020240516183253183939</v>
      </c>
      <c r="F2650" s="9"/>
    </row>
    <row r="2651" s="2" customFormat="1" ht="30" customHeight="1" spans="1:6">
      <c r="A2651" s="9">
        <v>2648</v>
      </c>
      <c r="B2651" s="10" t="s">
        <v>1230</v>
      </c>
      <c r="C2651" s="10" t="s">
        <v>1231</v>
      </c>
      <c r="D2651" s="10" t="s">
        <v>2618</v>
      </c>
      <c r="E2651" s="10" t="str">
        <f>"644020240517151826185473"</f>
        <v>644020240517151826185473</v>
      </c>
      <c r="F2651" s="9"/>
    </row>
    <row r="2652" s="2" customFormat="1" ht="30" customHeight="1" spans="1:6">
      <c r="A2652" s="9">
        <v>2649</v>
      </c>
      <c r="B2652" s="10" t="s">
        <v>1230</v>
      </c>
      <c r="C2652" s="10" t="s">
        <v>1231</v>
      </c>
      <c r="D2652" s="10" t="s">
        <v>2619</v>
      </c>
      <c r="E2652" s="10" t="str">
        <f>"644020240517151749185470"</f>
        <v>644020240517151749185470</v>
      </c>
      <c r="F2652" s="9"/>
    </row>
    <row r="2653" s="2" customFormat="1" ht="30" customHeight="1" spans="1:6">
      <c r="A2653" s="9">
        <v>2650</v>
      </c>
      <c r="B2653" s="10" t="s">
        <v>1230</v>
      </c>
      <c r="C2653" s="10" t="s">
        <v>1231</v>
      </c>
      <c r="D2653" s="10" t="s">
        <v>2620</v>
      </c>
      <c r="E2653" s="10" t="str">
        <f>"644020240517151400185458"</f>
        <v>644020240517151400185458</v>
      </c>
      <c r="F2653" s="9"/>
    </row>
    <row r="2654" s="2" customFormat="1" ht="30" customHeight="1" spans="1:6">
      <c r="A2654" s="9">
        <v>2651</v>
      </c>
      <c r="B2654" s="10" t="s">
        <v>1230</v>
      </c>
      <c r="C2654" s="10" t="s">
        <v>1231</v>
      </c>
      <c r="D2654" s="10" t="s">
        <v>2621</v>
      </c>
      <c r="E2654" s="10" t="str">
        <f>"644020240517152359185489"</f>
        <v>644020240517152359185489</v>
      </c>
      <c r="F2654" s="9"/>
    </row>
    <row r="2655" s="2" customFormat="1" ht="30" customHeight="1" spans="1:6">
      <c r="A2655" s="9">
        <v>2652</v>
      </c>
      <c r="B2655" s="10" t="s">
        <v>1230</v>
      </c>
      <c r="C2655" s="10" t="s">
        <v>1231</v>
      </c>
      <c r="D2655" s="10" t="s">
        <v>2622</v>
      </c>
      <c r="E2655" s="10" t="str">
        <f>"644020240517152516185493"</f>
        <v>644020240517152516185493</v>
      </c>
      <c r="F2655" s="9"/>
    </row>
    <row r="2656" s="2" customFormat="1" ht="30" customHeight="1" spans="1:6">
      <c r="A2656" s="9">
        <v>2653</v>
      </c>
      <c r="B2656" s="10" t="s">
        <v>1230</v>
      </c>
      <c r="C2656" s="10" t="s">
        <v>1231</v>
      </c>
      <c r="D2656" s="10" t="s">
        <v>2623</v>
      </c>
      <c r="E2656" s="10" t="str">
        <f>"644020240517131553185236"</f>
        <v>644020240517131553185236</v>
      </c>
      <c r="F2656" s="9"/>
    </row>
    <row r="2657" s="2" customFormat="1" ht="30" customHeight="1" spans="1:6">
      <c r="A2657" s="9">
        <v>2654</v>
      </c>
      <c r="B2657" s="10" t="s">
        <v>1230</v>
      </c>
      <c r="C2657" s="10" t="s">
        <v>1231</v>
      </c>
      <c r="D2657" s="10" t="s">
        <v>2624</v>
      </c>
      <c r="E2657" s="10" t="str">
        <f>"644020240517005148184514"</f>
        <v>644020240517005148184514</v>
      </c>
      <c r="F2657" s="9"/>
    </row>
    <row r="2658" s="2" customFormat="1" ht="30" customHeight="1" spans="1:6">
      <c r="A2658" s="9">
        <v>2655</v>
      </c>
      <c r="B2658" s="10" t="s">
        <v>1230</v>
      </c>
      <c r="C2658" s="10" t="s">
        <v>1231</v>
      </c>
      <c r="D2658" s="10" t="s">
        <v>2625</v>
      </c>
      <c r="E2658" s="10" t="str">
        <f>"644020240517153126185514"</f>
        <v>644020240517153126185514</v>
      </c>
      <c r="F2658" s="9"/>
    </row>
    <row r="2659" s="2" customFormat="1" ht="30" customHeight="1" spans="1:6">
      <c r="A2659" s="9">
        <v>2656</v>
      </c>
      <c r="B2659" s="10" t="s">
        <v>1230</v>
      </c>
      <c r="C2659" s="10" t="s">
        <v>1231</v>
      </c>
      <c r="D2659" s="10" t="s">
        <v>2626</v>
      </c>
      <c r="E2659" s="10" t="str">
        <f>"644020240516212633184123"</f>
        <v>644020240516212633184123</v>
      </c>
      <c r="F2659" s="9"/>
    </row>
    <row r="2660" s="2" customFormat="1" ht="30" customHeight="1" spans="1:6">
      <c r="A2660" s="9">
        <v>2657</v>
      </c>
      <c r="B2660" s="10" t="s">
        <v>1230</v>
      </c>
      <c r="C2660" s="10" t="s">
        <v>1231</v>
      </c>
      <c r="D2660" s="10" t="s">
        <v>2627</v>
      </c>
      <c r="E2660" s="10" t="str">
        <f>"644020240517152053185482"</f>
        <v>644020240517152053185482</v>
      </c>
      <c r="F2660" s="9"/>
    </row>
    <row r="2661" s="2" customFormat="1" ht="30" customHeight="1" spans="1:6">
      <c r="A2661" s="9">
        <v>2658</v>
      </c>
      <c r="B2661" s="10" t="s">
        <v>1230</v>
      </c>
      <c r="C2661" s="10" t="s">
        <v>1231</v>
      </c>
      <c r="D2661" s="10" t="s">
        <v>2628</v>
      </c>
      <c r="E2661" s="10" t="str">
        <f>"644020240517153600185527"</f>
        <v>644020240517153600185527</v>
      </c>
      <c r="F2661" s="9"/>
    </row>
    <row r="2662" s="2" customFormat="1" ht="30" customHeight="1" spans="1:6">
      <c r="A2662" s="9">
        <v>2659</v>
      </c>
      <c r="B2662" s="10" t="s">
        <v>1230</v>
      </c>
      <c r="C2662" s="10" t="s">
        <v>1231</v>
      </c>
      <c r="D2662" s="10" t="s">
        <v>2629</v>
      </c>
      <c r="E2662" s="10" t="str">
        <f>"644020240517095211184794"</f>
        <v>644020240517095211184794</v>
      </c>
      <c r="F2662" s="9"/>
    </row>
    <row r="2663" s="2" customFormat="1" ht="30" customHeight="1" spans="1:6">
      <c r="A2663" s="9">
        <v>2660</v>
      </c>
      <c r="B2663" s="10" t="s">
        <v>1230</v>
      </c>
      <c r="C2663" s="10" t="s">
        <v>1231</v>
      </c>
      <c r="D2663" s="10" t="s">
        <v>2630</v>
      </c>
      <c r="E2663" s="10" t="str">
        <f>"644020240517152016185479"</f>
        <v>644020240517152016185479</v>
      </c>
      <c r="F2663" s="9"/>
    </row>
    <row r="2664" s="2" customFormat="1" ht="30" customHeight="1" spans="1:6">
      <c r="A2664" s="9">
        <v>2661</v>
      </c>
      <c r="B2664" s="10" t="s">
        <v>1230</v>
      </c>
      <c r="C2664" s="10" t="s">
        <v>1231</v>
      </c>
      <c r="D2664" s="10" t="s">
        <v>2631</v>
      </c>
      <c r="E2664" s="10" t="str">
        <f>"644020240516104448183047"</f>
        <v>644020240516104448183047</v>
      </c>
      <c r="F2664" s="9"/>
    </row>
    <row r="2665" s="2" customFormat="1" ht="30" customHeight="1" spans="1:6">
      <c r="A2665" s="9">
        <v>2662</v>
      </c>
      <c r="B2665" s="10" t="s">
        <v>1230</v>
      </c>
      <c r="C2665" s="10" t="s">
        <v>1231</v>
      </c>
      <c r="D2665" s="10" t="s">
        <v>2632</v>
      </c>
      <c r="E2665" s="10" t="str">
        <f>"644020240514104420178522"</f>
        <v>644020240514104420178522</v>
      </c>
      <c r="F2665" s="9"/>
    </row>
    <row r="2666" s="2" customFormat="1" ht="30" customHeight="1" spans="1:6">
      <c r="A2666" s="9">
        <v>2663</v>
      </c>
      <c r="B2666" s="10" t="s">
        <v>1230</v>
      </c>
      <c r="C2666" s="10" t="s">
        <v>1231</v>
      </c>
      <c r="D2666" s="10" t="s">
        <v>1191</v>
      </c>
      <c r="E2666" s="10" t="str">
        <f>"644020240517155032185568"</f>
        <v>644020240517155032185568</v>
      </c>
      <c r="F2666" s="9"/>
    </row>
    <row r="2667" s="2" customFormat="1" ht="30" customHeight="1" spans="1:6">
      <c r="A2667" s="9">
        <v>2664</v>
      </c>
      <c r="B2667" s="10" t="s">
        <v>1230</v>
      </c>
      <c r="C2667" s="10" t="s">
        <v>1231</v>
      </c>
      <c r="D2667" s="10" t="s">
        <v>2633</v>
      </c>
      <c r="E2667" s="10" t="str">
        <f>"644020240517143536185372"</f>
        <v>644020240517143536185372</v>
      </c>
      <c r="F2667" s="9"/>
    </row>
    <row r="2668" s="2" customFormat="1" ht="30" customHeight="1" spans="1:6">
      <c r="A2668" s="9">
        <v>2665</v>
      </c>
      <c r="B2668" s="10" t="s">
        <v>1230</v>
      </c>
      <c r="C2668" s="10" t="s">
        <v>1231</v>
      </c>
      <c r="D2668" s="10" t="s">
        <v>2634</v>
      </c>
      <c r="E2668" s="10" t="str">
        <f>"644020240513083034172298"</f>
        <v>644020240513083034172298</v>
      </c>
      <c r="F2668" s="9"/>
    </row>
    <row r="2669" s="2" customFormat="1" ht="30" customHeight="1" spans="1:6">
      <c r="A2669" s="9">
        <v>2666</v>
      </c>
      <c r="B2669" s="10" t="s">
        <v>1230</v>
      </c>
      <c r="C2669" s="10" t="s">
        <v>1231</v>
      </c>
      <c r="D2669" s="10" t="s">
        <v>2635</v>
      </c>
      <c r="E2669" s="10" t="str">
        <f>"644020240517144006185380"</f>
        <v>644020240517144006185380</v>
      </c>
      <c r="F2669" s="9"/>
    </row>
    <row r="2670" s="2" customFormat="1" ht="30" customHeight="1" spans="1:6">
      <c r="A2670" s="9">
        <v>2667</v>
      </c>
      <c r="B2670" s="10" t="s">
        <v>1230</v>
      </c>
      <c r="C2670" s="10" t="s">
        <v>1231</v>
      </c>
      <c r="D2670" s="10" t="s">
        <v>2636</v>
      </c>
      <c r="E2670" s="10" t="str">
        <f>"644020240517154848185564"</f>
        <v>644020240517154848185564</v>
      </c>
      <c r="F2670" s="9"/>
    </row>
    <row r="2671" s="2" customFormat="1" ht="30" customHeight="1" spans="1:6">
      <c r="A2671" s="9">
        <v>2668</v>
      </c>
      <c r="B2671" s="10" t="s">
        <v>1230</v>
      </c>
      <c r="C2671" s="10" t="s">
        <v>1231</v>
      </c>
      <c r="D2671" s="10" t="s">
        <v>2637</v>
      </c>
      <c r="E2671" s="10" t="str">
        <f>"644020240517144558185389"</f>
        <v>644020240517144558185389</v>
      </c>
      <c r="F2671" s="9"/>
    </row>
    <row r="2672" s="2" customFormat="1" ht="30" customHeight="1" spans="1:6">
      <c r="A2672" s="9">
        <v>2669</v>
      </c>
      <c r="B2672" s="10" t="s">
        <v>1230</v>
      </c>
      <c r="C2672" s="10" t="s">
        <v>1231</v>
      </c>
      <c r="D2672" s="10" t="s">
        <v>2638</v>
      </c>
      <c r="E2672" s="10" t="str">
        <f>"644020240517000031184462"</f>
        <v>644020240517000031184462</v>
      </c>
      <c r="F2672" s="9"/>
    </row>
    <row r="2673" s="2" customFormat="1" ht="30" customHeight="1" spans="1:6">
      <c r="A2673" s="9">
        <v>2670</v>
      </c>
      <c r="B2673" s="10" t="s">
        <v>1230</v>
      </c>
      <c r="C2673" s="10" t="s">
        <v>1231</v>
      </c>
      <c r="D2673" s="10" t="s">
        <v>2639</v>
      </c>
      <c r="E2673" s="10" t="str">
        <f>"644020240515160336181793"</f>
        <v>644020240515160336181793</v>
      </c>
      <c r="F2673" s="9"/>
    </row>
    <row r="2674" s="2" customFormat="1" ht="30" customHeight="1" spans="1:6">
      <c r="A2674" s="9">
        <v>2671</v>
      </c>
      <c r="B2674" s="10" t="s">
        <v>1230</v>
      </c>
      <c r="C2674" s="10" t="s">
        <v>1231</v>
      </c>
      <c r="D2674" s="10" t="s">
        <v>2640</v>
      </c>
      <c r="E2674" s="10" t="str">
        <f>"644020240517154423185551"</f>
        <v>644020240517154423185551</v>
      </c>
      <c r="F2674" s="9"/>
    </row>
    <row r="2675" s="2" customFormat="1" ht="30" customHeight="1" spans="1:6">
      <c r="A2675" s="9">
        <v>2672</v>
      </c>
      <c r="B2675" s="10" t="s">
        <v>1230</v>
      </c>
      <c r="C2675" s="10" t="s">
        <v>1231</v>
      </c>
      <c r="D2675" s="10" t="s">
        <v>2641</v>
      </c>
      <c r="E2675" s="10" t="str">
        <f>"644020240516100625182970"</f>
        <v>644020240516100625182970</v>
      </c>
      <c r="F2675" s="9"/>
    </row>
    <row r="2676" s="2" customFormat="1" ht="30" customHeight="1" spans="1:6">
      <c r="A2676" s="9">
        <v>2673</v>
      </c>
      <c r="B2676" s="10" t="s">
        <v>1230</v>
      </c>
      <c r="C2676" s="10" t="s">
        <v>1231</v>
      </c>
      <c r="D2676" s="10" t="s">
        <v>2642</v>
      </c>
      <c r="E2676" s="10" t="str">
        <f>"644020240517155754185584"</f>
        <v>644020240517155754185584</v>
      </c>
      <c r="F2676" s="9"/>
    </row>
    <row r="2677" s="2" customFormat="1" ht="30" customHeight="1" spans="1:6">
      <c r="A2677" s="9">
        <v>2674</v>
      </c>
      <c r="B2677" s="10" t="s">
        <v>1230</v>
      </c>
      <c r="C2677" s="10" t="s">
        <v>1231</v>
      </c>
      <c r="D2677" s="10" t="s">
        <v>2643</v>
      </c>
      <c r="E2677" s="10" t="str">
        <f>"644020240517155405185575"</f>
        <v>644020240517155405185575</v>
      </c>
      <c r="F2677" s="9"/>
    </row>
    <row r="2678" s="2" customFormat="1" ht="30" customHeight="1" spans="1:6">
      <c r="A2678" s="9">
        <v>2675</v>
      </c>
      <c r="B2678" s="10" t="s">
        <v>1230</v>
      </c>
      <c r="C2678" s="10" t="s">
        <v>1231</v>
      </c>
      <c r="D2678" s="10" t="s">
        <v>2644</v>
      </c>
      <c r="E2678" s="10" t="str">
        <f>"644020240517155221185572"</f>
        <v>644020240517155221185572</v>
      </c>
      <c r="F2678" s="9"/>
    </row>
    <row r="2679" s="2" customFormat="1" ht="30" customHeight="1" spans="1:6">
      <c r="A2679" s="9">
        <v>2676</v>
      </c>
      <c r="B2679" s="10" t="s">
        <v>1230</v>
      </c>
      <c r="C2679" s="10" t="s">
        <v>1231</v>
      </c>
      <c r="D2679" s="10" t="s">
        <v>2645</v>
      </c>
      <c r="E2679" s="10" t="str">
        <f>"644020240513103506173470"</f>
        <v>644020240513103506173470</v>
      </c>
      <c r="F2679" s="9"/>
    </row>
    <row r="2680" s="2" customFormat="1" ht="30" customHeight="1" spans="1:6">
      <c r="A2680" s="9">
        <v>2677</v>
      </c>
      <c r="B2680" s="10" t="s">
        <v>1230</v>
      </c>
      <c r="C2680" s="10" t="s">
        <v>1231</v>
      </c>
      <c r="D2680" s="10" t="s">
        <v>2646</v>
      </c>
      <c r="E2680" s="10" t="str">
        <f>"644020240517153456185521"</f>
        <v>644020240517153456185521</v>
      </c>
      <c r="F2680" s="9"/>
    </row>
    <row r="2681" s="2" customFormat="1" ht="30" customHeight="1" spans="1:6">
      <c r="A2681" s="9">
        <v>2678</v>
      </c>
      <c r="B2681" s="10" t="s">
        <v>1230</v>
      </c>
      <c r="C2681" s="10" t="s">
        <v>1231</v>
      </c>
      <c r="D2681" s="10" t="s">
        <v>2647</v>
      </c>
      <c r="E2681" s="10" t="str">
        <f>"644020240517080504184603"</f>
        <v>644020240517080504184603</v>
      </c>
      <c r="F2681" s="9"/>
    </row>
    <row r="2682" s="2" customFormat="1" ht="30" customHeight="1" spans="1:6">
      <c r="A2682" s="9">
        <v>2679</v>
      </c>
      <c r="B2682" s="10" t="s">
        <v>1230</v>
      </c>
      <c r="C2682" s="10" t="s">
        <v>1231</v>
      </c>
      <c r="D2682" s="10" t="s">
        <v>2648</v>
      </c>
      <c r="E2682" s="10" t="str">
        <f>"644020240516172914183828"</f>
        <v>644020240516172914183828</v>
      </c>
      <c r="F2682" s="9"/>
    </row>
    <row r="2683" s="2" customFormat="1" ht="30" customHeight="1" spans="1:6">
      <c r="A2683" s="9">
        <v>2680</v>
      </c>
      <c r="B2683" s="10" t="s">
        <v>1230</v>
      </c>
      <c r="C2683" s="10" t="s">
        <v>1231</v>
      </c>
      <c r="D2683" s="10" t="s">
        <v>1287</v>
      </c>
      <c r="E2683" s="10" t="str">
        <f>"644020240514145641179198"</f>
        <v>644020240514145641179198</v>
      </c>
      <c r="F2683" s="9"/>
    </row>
    <row r="2684" s="2" customFormat="1" ht="30" customHeight="1" spans="1:6">
      <c r="A2684" s="9">
        <v>2681</v>
      </c>
      <c r="B2684" s="10" t="s">
        <v>1230</v>
      </c>
      <c r="C2684" s="10" t="s">
        <v>1231</v>
      </c>
      <c r="D2684" s="10" t="s">
        <v>2649</v>
      </c>
      <c r="E2684" s="10" t="str">
        <f>"644020240514104733178539"</f>
        <v>644020240514104733178539</v>
      </c>
      <c r="F2684" s="9"/>
    </row>
    <row r="2685" s="2" customFormat="1" ht="30" customHeight="1" spans="1:6">
      <c r="A2685" s="9">
        <v>2682</v>
      </c>
      <c r="B2685" s="10" t="s">
        <v>1230</v>
      </c>
      <c r="C2685" s="10" t="s">
        <v>1231</v>
      </c>
      <c r="D2685" s="10" t="s">
        <v>2650</v>
      </c>
      <c r="E2685" s="10" t="str">
        <f>"644020240516190750183986"</f>
        <v>644020240516190750183986</v>
      </c>
      <c r="F2685" s="9"/>
    </row>
    <row r="2686" s="2" customFormat="1" ht="30" customHeight="1" spans="1:6">
      <c r="A2686" s="9">
        <v>2683</v>
      </c>
      <c r="B2686" s="10" t="s">
        <v>1230</v>
      </c>
      <c r="C2686" s="10" t="s">
        <v>1231</v>
      </c>
      <c r="D2686" s="10" t="s">
        <v>2651</v>
      </c>
      <c r="E2686" s="10" t="str">
        <f>"644020240517142015185347"</f>
        <v>644020240517142015185347</v>
      </c>
      <c r="F2686" s="9"/>
    </row>
    <row r="2687" s="2" customFormat="1" ht="30" customHeight="1" spans="1:6">
      <c r="A2687" s="9">
        <v>2684</v>
      </c>
      <c r="B2687" s="10" t="s">
        <v>1230</v>
      </c>
      <c r="C2687" s="10" t="s">
        <v>1231</v>
      </c>
      <c r="D2687" s="10" t="s">
        <v>2652</v>
      </c>
      <c r="E2687" s="10" t="str">
        <f>"644020240517120858185094"</f>
        <v>644020240517120858185094</v>
      </c>
      <c r="F2687" s="9"/>
    </row>
    <row r="2688" s="2" customFormat="1" ht="30" customHeight="1" spans="1:6">
      <c r="A2688" s="9">
        <v>2685</v>
      </c>
      <c r="B2688" s="10" t="s">
        <v>1230</v>
      </c>
      <c r="C2688" s="10" t="s">
        <v>1231</v>
      </c>
      <c r="D2688" s="10" t="s">
        <v>2163</v>
      </c>
      <c r="E2688" s="10" t="str">
        <f>"644020240517162515185644"</f>
        <v>644020240517162515185644</v>
      </c>
      <c r="F2688" s="9"/>
    </row>
    <row r="2689" s="2" customFormat="1" ht="30" customHeight="1" spans="1:6">
      <c r="A2689" s="9">
        <v>2686</v>
      </c>
      <c r="B2689" s="10" t="s">
        <v>1230</v>
      </c>
      <c r="C2689" s="10" t="s">
        <v>1231</v>
      </c>
      <c r="D2689" s="10" t="s">
        <v>2653</v>
      </c>
      <c r="E2689" s="10" t="str">
        <f>"644020240514130906178983"</f>
        <v>644020240514130906178983</v>
      </c>
      <c r="F2689" s="9"/>
    </row>
    <row r="2690" s="2" customFormat="1" ht="30" customHeight="1" spans="1:6">
      <c r="A2690" s="9">
        <v>2687</v>
      </c>
      <c r="B2690" s="10" t="s">
        <v>1230</v>
      </c>
      <c r="C2690" s="10" t="s">
        <v>1231</v>
      </c>
      <c r="D2690" s="10" t="s">
        <v>2654</v>
      </c>
      <c r="E2690" s="10" t="str">
        <f>"644020240516145621183474"</f>
        <v>644020240516145621183474</v>
      </c>
      <c r="F2690" s="9"/>
    </row>
    <row r="2691" s="2" customFormat="1" ht="30" customHeight="1" spans="1:6">
      <c r="A2691" s="9">
        <v>2688</v>
      </c>
      <c r="B2691" s="10" t="s">
        <v>1230</v>
      </c>
      <c r="C2691" s="10" t="s">
        <v>1231</v>
      </c>
      <c r="D2691" s="10" t="s">
        <v>2655</v>
      </c>
      <c r="E2691" s="10" t="str">
        <f>"644020240517144222185384"</f>
        <v>644020240517144222185384</v>
      </c>
      <c r="F2691" s="9"/>
    </row>
    <row r="2692" s="2" customFormat="1" ht="30" customHeight="1" spans="1:6">
      <c r="A2692" s="9">
        <v>2689</v>
      </c>
      <c r="B2692" s="10" t="s">
        <v>1230</v>
      </c>
      <c r="C2692" s="10" t="s">
        <v>1231</v>
      </c>
      <c r="D2692" s="10" t="s">
        <v>2656</v>
      </c>
      <c r="E2692" s="10" t="str">
        <f>"644020240515222422182411"</f>
        <v>644020240515222422182411</v>
      </c>
      <c r="F2692" s="9"/>
    </row>
    <row r="2693" s="2" customFormat="1" ht="30" customHeight="1" spans="1:6">
      <c r="A2693" s="9">
        <v>2690</v>
      </c>
      <c r="B2693" s="10" t="s">
        <v>1230</v>
      </c>
      <c r="C2693" s="10" t="s">
        <v>1231</v>
      </c>
      <c r="D2693" s="10" t="s">
        <v>2657</v>
      </c>
      <c r="E2693" s="10" t="str">
        <f>"644020240517125125185176"</f>
        <v>644020240517125125185176</v>
      </c>
      <c r="F2693" s="9"/>
    </row>
    <row r="2694" s="2" customFormat="1" ht="30" customHeight="1" spans="1:6">
      <c r="A2694" s="9">
        <v>2691</v>
      </c>
      <c r="B2694" s="10" t="s">
        <v>1230</v>
      </c>
      <c r="C2694" s="10" t="s">
        <v>1231</v>
      </c>
      <c r="D2694" s="10" t="s">
        <v>2658</v>
      </c>
      <c r="E2694" s="10" t="str">
        <f>"644020240517170022185702"</f>
        <v>644020240517170022185702</v>
      </c>
      <c r="F2694" s="9"/>
    </row>
    <row r="2695" s="2" customFormat="1" ht="30" customHeight="1" spans="1:6">
      <c r="A2695" s="9">
        <v>2692</v>
      </c>
      <c r="B2695" s="10" t="s">
        <v>1230</v>
      </c>
      <c r="C2695" s="10" t="s">
        <v>1231</v>
      </c>
      <c r="D2695" s="10" t="s">
        <v>2659</v>
      </c>
      <c r="E2695" s="10" t="str">
        <f>"644020240517172907185742"</f>
        <v>644020240517172907185742</v>
      </c>
      <c r="F2695" s="9"/>
    </row>
    <row r="2696" s="2" customFormat="1" ht="30" customHeight="1" spans="1:6">
      <c r="A2696" s="9">
        <v>2693</v>
      </c>
      <c r="B2696" s="10" t="s">
        <v>1230</v>
      </c>
      <c r="C2696" s="10" t="s">
        <v>1231</v>
      </c>
      <c r="D2696" s="10" t="s">
        <v>2660</v>
      </c>
      <c r="E2696" s="10" t="str">
        <f>"644020240517011011184522"</f>
        <v>644020240517011011184522</v>
      </c>
      <c r="F2696" s="9"/>
    </row>
    <row r="2697" s="2" customFormat="1" ht="30" customHeight="1" spans="1:6">
      <c r="A2697" s="9">
        <v>2694</v>
      </c>
      <c r="B2697" s="10" t="s">
        <v>1230</v>
      </c>
      <c r="C2697" s="10" t="s">
        <v>1231</v>
      </c>
      <c r="D2697" s="10" t="s">
        <v>2661</v>
      </c>
      <c r="E2697" s="10" t="str">
        <f>"644020240517103710184894"</f>
        <v>644020240517103710184894</v>
      </c>
      <c r="F2697" s="9"/>
    </row>
    <row r="2698" s="2" customFormat="1" ht="30" customHeight="1" spans="1:6">
      <c r="A2698" s="9">
        <v>2695</v>
      </c>
      <c r="B2698" s="10" t="s">
        <v>1230</v>
      </c>
      <c r="C2698" s="10" t="s">
        <v>1231</v>
      </c>
      <c r="D2698" s="10" t="s">
        <v>2662</v>
      </c>
      <c r="E2698" s="10" t="str">
        <f>"644020240516144638183456"</f>
        <v>644020240516144638183456</v>
      </c>
      <c r="F2698" s="9"/>
    </row>
    <row r="2699" s="2" customFormat="1" ht="30" customHeight="1" spans="1:6">
      <c r="A2699" s="9">
        <v>2696</v>
      </c>
      <c r="B2699" s="10" t="s">
        <v>1230</v>
      </c>
      <c r="C2699" s="10" t="s">
        <v>1231</v>
      </c>
      <c r="D2699" s="10" t="s">
        <v>2663</v>
      </c>
      <c r="E2699" s="10" t="str">
        <f>"644020240512130009169234"</f>
        <v>644020240512130009169234</v>
      </c>
      <c r="F2699" s="9"/>
    </row>
    <row r="2700" s="2" customFormat="1" ht="30" customHeight="1" spans="1:6">
      <c r="A2700" s="9">
        <v>2697</v>
      </c>
      <c r="B2700" s="10" t="s">
        <v>1230</v>
      </c>
      <c r="C2700" s="10" t="s">
        <v>1231</v>
      </c>
      <c r="D2700" s="10" t="s">
        <v>2664</v>
      </c>
      <c r="E2700" s="10" t="str">
        <f>"644020240517161325185619"</f>
        <v>644020240517161325185619</v>
      </c>
      <c r="F2700" s="9"/>
    </row>
    <row r="2701" s="2" customFormat="1" ht="30" customHeight="1" spans="1:6">
      <c r="A2701" s="9">
        <v>2698</v>
      </c>
      <c r="B2701" s="10" t="s">
        <v>1230</v>
      </c>
      <c r="C2701" s="10" t="s">
        <v>1231</v>
      </c>
      <c r="D2701" s="10" t="s">
        <v>2665</v>
      </c>
      <c r="E2701" s="10" t="str">
        <f>"644020240517161604185626"</f>
        <v>644020240517161604185626</v>
      </c>
      <c r="F2701" s="9"/>
    </row>
    <row r="2702" s="2" customFormat="1" ht="30" customHeight="1" spans="1:6">
      <c r="A2702" s="9">
        <v>2699</v>
      </c>
      <c r="B2702" s="10" t="s">
        <v>1230</v>
      </c>
      <c r="C2702" s="10" t="s">
        <v>1231</v>
      </c>
      <c r="D2702" s="10" t="s">
        <v>2666</v>
      </c>
      <c r="E2702" s="10" t="str">
        <f>"644020240517175603185787"</f>
        <v>644020240517175603185787</v>
      </c>
      <c r="F2702" s="9"/>
    </row>
    <row r="2703" s="2" customFormat="1" ht="30" customHeight="1" spans="1:6">
      <c r="A2703" s="9">
        <v>2700</v>
      </c>
      <c r="B2703" s="10" t="s">
        <v>1230</v>
      </c>
      <c r="C2703" s="10" t="s">
        <v>1231</v>
      </c>
      <c r="D2703" s="10" t="s">
        <v>2667</v>
      </c>
      <c r="E2703" s="10" t="str">
        <f>"644020240517174454185767"</f>
        <v>644020240517174454185767</v>
      </c>
      <c r="F2703" s="9"/>
    </row>
    <row r="2704" s="2" customFormat="1" ht="30" customHeight="1" spans="1:6">
      <c r="A2704" s="9">
        <v>2701</v>
      </c>
      <c r="B2704" s="10" t="s">
        <v>1230</v>
      </c>
      <c r="C2704" s="10" t="s">
        <v>1231</v>
      </c>
      <c r="D2704" s="10" t="s">
        <v>2668</v>
      </c>
      <c r="E2704" s="10" t="str">
        <f>"644020240517173823185757"</f>
        <v>644020240517173823185757</v>
      </c>
      <c r="F2704" s="9"/>
    </row>
    <row r="2705" s="2" customFormat="1" ht="30" customHeight="1" spans="1:6">
      <c r="A2705" s="9">
        <v>2702</v>
      </c>
      <c r="B2705" s="10" t="s">
        <v>1230</v>
      </c>
      <c r="C2705" s="10" t="s">
        <v>1231</v>
      </c>
      <c r="D2705" s="10" t="s">
        <v>2669</v>
      </c>
      <c r="E2705" s="10" t="str">
        <f>"644020240517174912185774"</f>
        <v>644020240517174912185774</v>
      </c>
      <c r="F2705" s="9"/>
    </row>
    <row r="2706" s="2" customFormat="1" ht="30" customHeight="1" spans="1:6">
      <c r="A2706" s="9">
        <v>2703</v>
      </c>
      <c r="B2706" s="10" t="s">
        <v>1230</v>
      </c>
      <c r="C2706" s="10" t="s">
        <v>1231</v>
      </c>
      <c r="D2706" s="10" t="s">
        <v>2670</v>
      </c>
      <c r="E2706" s="10" t="str">
        <f>"644020240517180506185803"</f>
        <v>644020240517180506185803</v>
      </c>
      <c r="F2706" s="9"/>
    </row>
    <row r="2707" s="2" customFormat="1" ht="30" customHeight="1" spans="1:6">
      <c r="A2707" s="9">
        <v>2704</v>
      </c>
      <c r="B2707" s="10" t="s">
        <v>1230</v>
      </c>
      <c r="C2707" s="10" t="s">
        <v>1231</v>
      </c>
      <c r="D2707" s="10" t="s">
        <v>2671</v>
      </c>
      <c r="E2707" s="10" t="str">
        <f>"644020240517165458185694"</f>
        <v>644020240517165458185694</v>
      </c>
      <c r="F2707" s="9"/>
    </row>
    <row r="2708" s="2" customFormat="1" ht="30" customHeight="1" spans="1:6">
      <c r="A2708" s="9">
        <v>2705</v>
      </c>
      <c r="B2708" s="10" t="s">
        <v>1230</v>
      </c>
      <c r="C2708" s="10" t="s">
        <v>1231</v>
      </c>
      <c r="D2708" s="10" t="s">
        <v>2672</v>
      </c>
      <c r="E2708" s="10" t="str">
        <f>"644020240517174716185769"</f>
        <v>644020240517174716185769</v>
      </c>
      <c r="F2708" s="9"/>
    </row>
    <row r="2709" s="2" customFormat="1" ht="30" customHeight="1" spans="1:6">
      <c r="A2709" s="9">
        <v>2706</v>
      </c>
      <c r="B2709" s="10" t="s">
        <v>1230</v>
      </c>
      <c r="C2709" s="10" t="s">
        <v>1231</v>
      </c>
      <c r="D2709" s="10" t="s">
        <v>2673</v>
      </c>
      <c r="E2709" s="10" t="str">
        <f>"644020240517181716185822"</f>
        <v>644020240517181716185822</v>
      </c>
      <c r="F2709" s="9"/>
    </row>
    <row r="2710" s="2" customFormat="1" ht="30" customHeight="1" spans="1:6">
      <c r="A2710" s="9">
        <v>2707</v>
      </c>
      <c r="B2710" s="10" t="s">
        <v>1230</v>
      </c>
      <c r="C2710" s="10" t="s">
        <v>1231</v>
      </c>
      <c r="D2710" s="10" t="s">
        <v>2674</v>
      </c>
      <c r="E2710" s="10" t="str">
        <f>"644020240517181655185821"</f>
        <v>644020240517181655185821</v>
      </c>
      <c r="F2710" s="9"/>
    </row>
    <row r="2711" s="2" customFormat="1" ht="30" customHeight="1" spans="1:6">
      <c r="A2711" s="9">
        <v>2708</v>
      </c>
      <c r="B2711" s="10" t="s">
        <v>1230</v>
      </c>
      <c r="C2711" s="10" t="s">
        <v>1231</v>
      </c>
      <c r="D2711" s="10" t="s">
        <v>2675</v>
      </c>
      <c r="E2711" s="10" t="str">
        <f>"644020240516173709183846"</f>
        <v>644020240516173709183846</v>
      </c>
      <c r="F2711" s="9"/>
    </row>
    <row r="2712" s="2" customFormat="1" ht="30" customHeight="1" spans="1:6">
      <c r="A2712" s="9">
        <v>2709</v>
      </c>
      <c r="B2712" s="10" t="s">
        <v>1230</v>
      </c>
      <c r="C2712" s="10" t="s">
        <v>1231</v>
      </c>
      <c r="D2712" s="10" t="s">
        <v>2676</v>
      </c>
      <c r="E2712" s="10" t="str">
        <f>"644020240517181918185824"</f>
        <v>644020240517181918185824</v>
      </c>
      <c r="F2712" s="9"/>
    </row>
    <row r="2713" s="2" customFormat="1" ht="30" customHeight="1" spans="1:6">
      <c r="A2713" s="9">
        <v>2710</v>
      </c>
      <c r="B2713" s="10" t="s">
        <v>1230</v>
      </c>
      <c r="C2713" s="10" t="s">
        <v>1231</v>
      </c>
      <c r="D2713" s="10" t="s">
        <v>2677</v>
      </c>
      <c r="E2713" s="10" t="str">
        <f>"644020240517180522185804"</f>
        <v>644020240517180522185804</v>
      </c>
      <c r="F2713" s="9"/>
    </row>
    <row r="2714" s="2" customFormat="1" ht="30" customHeight="1" spans="1:6">
      <c r="A2714" s="9">
        <v>2711</v>
      </c>
      <c r="B2714" s="10" t="s">
        <v>1230</v>
      </c>
      <c r="C2714" s="10" t="s">
        <v>1231</v>
      </c>
      <c r="D2714" s="10" t="s">
        <v>2678</v>
      </c>
      <c r="E2714" s="10" t="str">
        <f>"644020240517172644185737"</f>
        <v>644020240517172644185737</v>
      </c>
      <c r="F2714" s="9"/>
    </row>
    <row r="2715" s="2" customFormat="1" ht="30" customHeight="1" spans="1:6">
      <c r="A2715" s="9">
        <v>2712</v>
      </c>
      <c r="B2715" s="10" t="s">
        <v>1230</v>
      </c>
      <c r="C2715" s="10" t="s">
        <v>1231</v>
      </c>
      <c r="D2715" s="10" t="s">
        <v>2679</v>
      </c>
      <c r="E2715" s="10" t="str">
        <f>"644020240516171116183793"</f>
        <v>644020240516171116183793</v>
      </c>
      <c r="F2715" s="9"/>
    </row>
    <row r="2716" s="2" customFormat="1" ht="30" customHeight="1" spans="1:6">
      <c r="A2716" s="9">
        <v>2713</v>
      </c>
      <c r="B2716" s="10" t="s">
        <v>1230</v>
      </c>
      <c r="C2716" s="10" t="s">
        <v>1231</v>
      </c>
      <c r="D2716" s="10" t="s">
        <v>2680</v>
      </c>
      <c r="E2716" s="10" t="str">
        <f>"644020240517164632185681"</f>
        <v>644020240517164632185681</v>
      </c>
      <c r="F2716" s="9"/>
    </row>
    <row r="2717" s="2" customFormat="1" ht="30" customHeight="1" spans="1:6">
      <c r="A2717" s="9">
        <v>2714</v>
      </c>
      <c r="B2717" s="10" t="s">
        <v>1230</v>
      </c>
      <c r="C2717" s="10" t="s">
        <v>1231</v>
      </c>
      <c r="D2717" s="10" t="s">
        <v>2681</v>
      </c>
      <c r="E2717" s="10" t="str">
        <f>"644020240517171123185722"</f>
        <v>644020240517171123185722</v>
      </c>
      <c r="F2717" s="9"/>
    </row>
    <row r="2718" s="2" customFormat="1" ht="30" customHeight="1" spans="1:6">
      <c r="A2718" s="9">
        <v>2715</v>
      </c>
      <c r="B2718" s="10" t="s">
        <v>1230</v>
      </c>
      <c r="C2718" s="10" t="s">
        <v>1231</v>
      </c>
      <c r="D2718" s="10" t="s">
        <v>2682</v>
      </c>
      <c r="E2718" s="10" t="str">
        <f>"644020240517180858185811"</f>
        <v>644020240517180858185811</v>
      </c>
      <c r="F2718" s="9"/>
    </row>
    <row r="2719" s="2" customFormat="1" ht="30" customHeight="1" spans="1:6">
      <c r="A2719" s="9">
        <v>2716</v>
      </c>
      <c r="B2719" s="10" t="s">
        <v>1230</v>
      </c>
      <c r="C2719" s="10" t="s">
        <v>1231</v>
      </c>
      <c r="D2719" s="10" t="s">
        <v>2683</v>
      </c>
      <c r="E2719" s="10" t="str">
        <f>"644020240517183741185844"</f>
        <v>644020240517183741185844</v>
      </c>
      <c r="F2719" s="9"/>
    </row>
    <row r="2720" s="2" customFormat="1" ht="30" customHeight="1" spans="1:6">
      <c r="A2720" s="9">
        <v>2717</v>
      </c>
      <c r="B2720" s="10" t="s">
        <v>1230</v>
      </c>
      <c r="C2720" s="10" t="s">
        <v>1231</v>
      </c>
      <c r="D2720" s="10" t="s">
        <v>2684</v>
      </c>
      <c r="E2720" s="10" t="str">
        <f>"644020240517175835185790"</f>
        <v>644020240517175835185790</v>
      </c>
      <c r="F2720" s="9"/>
    </row>
    <row r="2721" s="2" customFormat="1" ht="30" customHeight="1" spans="1:6">
      <c r="A2721" s="9">
        <v>2718</v>
      </c>
      <c r="B2721" s="10" t="s">
        <v>1230</v>
      </c>
      <c r="C2721" s="10" t="s">
        <v>1231</v>
      </c>
      <c r="D2721" s="10" t="s">
        <v>2685</v>
      </c>
      <c r="E2721" s="10" t="str">
        <f>"644020240517180852185810"</f>
        <v>644020240517180852185810</v>
      </c>
      <c r="F2721" s="9"/>
    </row>
    <row r="2722" s="2" customFormat="1" ht="30" customHeight="1" spans="1:6">
      <c r="A2722" s="9">
        <v>2719</v>
      </c>
      <c r="B2722" s="10" t="s">
        <v>1230</v>
      </c>
      <c r="C2722" s="10" t="s">
        <v>1231</v>
      </c>
      <c r="D2722" s="10" t="s">
        <v>2686</v>
      </c>
      <c r="E2722" s="10" t="str">
        <f>"644020240517184244185847"</f>
        <v>644020240517184244185847</v>
      </c>
      <c r="F2722" s="9"/>
    </row>
    <row r="2723" s="2" customFormat="1" ht="30" customHeight="1" spans="1:6">
      <c r="A2723" s="9">
        <v>2720</v>
      </c>
      <c r="B2723" s="10" t="s">
        <v>1230</v>
      </c>
      <c r="C2723" s="10" t="s">
        <v>1231</v>
      </c>
      <c r="D2723" s="10" t="s">
        <v>2687</v>
      </c>
      <c r="E2723" s="10" t="str">
        <f>"644020240517183019185836"</f>
        <v>644020240517183019185836</v>
      </c>
      <c r="F2723" s="9"/>
    </row>
    <row r="2724" s="2" customFormat="1" ht="30" customHeight="1" spans="1:6">
      <c r="A2724" s="9">
        <v>2721</v>
      </c>
      <c r="B2724" s="10" t="s">
        <v>1230</v>
      </c>
      <c r="C2724" s="10" t="s">
        <v>1231</v>
      </c>
      <c r="D2724" s="10" t="s">
        <v>2688</v>
      </c>
      <c r="E2724" s="10" t="str">
        <f>"644020240513163419175963"</f>
        <v>644020240513163419175963</v>
      </c>
      <c r="F2724" s="9"/>
    </row>
    <row r="2725" s="2" customFormat="1" ht="30" customHeight="1" spans="1:6">
      <c r="A2725" s="9">
        <v>2722</v>
      </c>
      <c r="B2725" s="10" t="s">
        <v>1230</v>
      </c>
      <c r="C2725" s="10" t="s">
        <v>1231</v>
      </c>
      <c r="D2725" s="10" t="s">
        <v>2689</v>
      </c>
      <c r="E2725" s="10" t="str">
        <f>"644020240517184615185853"</f>
        <v>644020240517184615185853</v>
      </c>
      <c r="F2725" s="9"/>
    </row>
    <row r="2726" s="2" customFormat="1" ht="30" customHeight="1" spans="1:6">
      <c r="A2726" s="9">
        <v>2723</v>
      </c>
      <c r="B2726" s="10" t="s">
        <v>1230</v>
      </c>
      <c r="C2726" s="10" t="s">
        <v>1231</v>
      </c>
      <c r="D2726" s="10" t="s">
        <v>2690</v>
      </c>
      <c r="E2726" s="10" t="str">
        <f>"644020240517185107185860"</f>
        <v>644020240517185107185860</v>
      </c>
      <c r="F2726" s="9"/>
    </row>
    <row r="2727" s="2" customFormat="1" ht="30" customHeight="1" spans="1:6">
      <c r="A2727" s="9">
        <v>2724</v>
      </c>
      <c r="B2727" s="10" t="s">
        <v>1230</v>
      </c>
      <c r="C2727" s="10" t="s">
        <v>1231</v>
      </c>
      <c r="D2727" s="10" t="s">
        <v>2691</v>
      </c>
      <c r="E2727" s="10" t="str">
        <f>"644020240517130236185205"</f>
        <v>644020240517130236185205</v>
      </c>
      <c r="F2727" s="9"/>
    </row>
    <row r="2728" s="2" customFormat="1" ht="30" customHeight="1" spans="1:6">
      <c r="A2728" s="9">
        <v>2725</v>
      </c>
      <c r="B2728" s="10" t="s">
        <v>1230</v>
      </c>
      <c r="C2728" s="10" t="s">
        <v>1231</v>
      </c>
      <c r="D2728" s="10" t="s">
        <v>2692</v>
      </c>
      <c r="E2728" s="10" t="str">
        <f>"644020240517183058185837"</f>
        <v>644020240517183058185837</v>
      </c>
      <c r="F2728" s="9"/>
    </row>
    <row r="2729" s="2" customFormat="1" ht="30" customHeight="1" spans="1:6">
      <c r="A2729" s="9">
        <v>2726</v>
      </c>
      <c r="B2729" s="10" t="s">
        <v>1230</v>
      </c>
      <c r="C2729" s="10" t="s">
        <v>1231</v>
      </c>
      <c r="D2729" s="10" t="s">
        <v>2693</v>
      </c>
      <c r="E2729" s="10" t="str">
        <f>"644020240517173423185748"</f>
        <v>644020240517173423185748</v>
      </c>
      <c r="F2729" s="9"/>
    </row>
    <row r="2730" s="2" customFormat="1" ht="30" customHeight="1" spans="1:6">
      <c r="A2730" s="9">
        <v>2727</v>
      </c>
      <c r="B2730" s="10" t="s">
        <v>1230</v>
      </c>
      <c r="C2730" s="10" t="s">
        <v>1231</v>
      </c>
      <c r="D2730" s="10" t="s">
        <v>2694</v>
      </c>
      <c r="E2730" s="10" t="str">
        <f>"644020240517190545185871"</f>
        <v>644020240517190545185871</v>
      </c>
      <c r="F2730" s="9"/>
    </row>
    <row r="2731" s="2" customFormat="1" ht="30" customHeight="1" spans="1:6">
      <c r="A2731" s="9">
        <v>2728</v>
      </c>
      <c r="B2731" s="10" t="s">
        <v>1230</v>
      </c>
      <c r="C2731" s="10" t="s">
        <v>1231</v>
      </c>
      <c r="D2731" s="10" t="s">
        <v>2695</v>
      </c>
      <c r="E2731" s="10" t="str">
        <f>"644020240517184518185852"</f>
        <v>644020240517184518185852</v>
      </c>
      <c r="F2731" s="9"/>
    </row>
    <row r="2732" s="2" customFormat="1" ht="30" customHeight="1" spans="1:6">
      <c r="A2732" s="9">
        <v>2729</v>
      </c>
      <c r="B2732" s="10" t="s">
        <v>1230</v>
      </c>
      <c r="C2732" s="10" t="s">
        <v>1231</v>
      </c>
      <c r="D2732" s="10" t="s">
        <v>2696</v>
      </c>
      <c r="E2732" s="10" t="str">
        <f>"644020240517184948185856"</f>
        <v>644020240517184948185856</v>
      </c>
      <c r="F2732" s="9"/>
    </row>
    <row r="2733" s="2" customFormat="1" ht="30" customHeight="1" spans="1:6">
      <c r="A2733" s="9">
        <v>2730</v>
      </c>
      <c r="B2733" s="10" t="s">
        <v>1230</v>
      </c>
      <c r="C2733" s="10" t="s">
        <v>1231</v>
      </c>
      <c r="D2733" s="10" t="s">
        <v>2697</v>
      </c>
      <c r="E2733" s="10" t="str">
        <f>"644020240517174731185770"</f>
        <v>644020240517174731185770</v>
      </c>
      <c r="F2733" s="9"/>
    </row>
    <row r="2734" s="2" customFormat="1" ht="30" customHeight="1" spans="1:6">
      <c r="A2734" s="9">
        <v>2731</v>
      </c>
      <c r="B2734" s="10" t="s">
        <v>1230</v>
      </c>
      <c r="C2734" s="10" t="s">
        <v>1231</v>
      </c>
      <c r="D2734" s="10" t="s">
        <v>2698</v>
      </c>
      <c r="E2734" s="10" t="str">
        <f>"644020240517170241185706"</f>
        <v>644020240517170241185706</v>
      </c>
      <c r="F2734" s="9"/>
    </row>
    <row r="2735" s="2" customFormat="1" ht="30" customHeight="1" spans="1:6">
      <c r="A2735" s="9">
        <v>2732</v>
      </c>
      <c r="B2735" s="10" t="s">
        <v>1230</v>
      </c>
      <c r="C2735" s="10" t="s">
        <v>1231</v>
      </c>
      <c r="D2735" s="10" t="s">
        <v>2699</v>
      </c>
      <c r="E2735" s="10" t="str">
        <f>"644020240513143330174990"</f>
        <v>644020240513143330174990</v>
      </c>
      <c r="F2735" s="9"/>
    </row>
    <row r="2736" s="2" customFormat="1" ht="30" customHeight="1" spans="1:6">
      <c r="A2736" s="9">
        <v>2733</v>
      </c>
      <c r="B2736" s="10" t="s">
        <v>1230</v>
      </c>
      <c r="C2736" s="10" t="s">
        <v>1231</v>
      </c>
      <c r="D2736" s="10" t="s">
        <v>2700</v>
      </c>
      <c r="E2736" s="10" t="str">
        <f>"644020240514204637180066"</f>
        <v>644020240514204637180066</v>
      </c>
      <c r="F2736" s="9"/>
    </row>
    <row r="2737" s="2" customFormat="1" ht="30" customHeight="1" spans="1:6">
      <c r="A2737" s="9">
        <v>2734</v>
      </c>
      <c r="B2737" s="10" t="s">
        <v>1230</v>
      </c>
      <c r="C2737" s="10" t="s">
        <v>1231</v>
      </c>
      <c r="D2737" s="10" t="s">
        <v>2701</v>
      </c>
      <c r="E2737" s="10" t="str">
        <f>"644020240517193713185897"</f>
        <v>644020240517193713185897</v>
      </c>
      <c r="F2737" s="9"/>
    </row>
    <row r="2738" s="2" customFormat="1" ht="30" customHeight="1" spans="1:6">
      <c r="A2738" s="9">
        <v>2735</v>
      </c>
      <c r="B2738" s="10" t="s">
        <v>1230</v>
      </c>
      <c r="C2738" s="10" t="s">
        <v>1231</v>
      </c>
      <c r="D2738" s="10" t="s">
        <v>2702</v>
      </c>
      <c r="E2738" s="10" t="str">
        <f>"644020240517100230184817"</f>
        <v>644020240517100230184817</v>
      </c>
      <c r="F2738" s="9"/>
    </row>
    <row r="2739" s="2" customFormat="1" ht="30" customHeight="1" spans="1:6">
      <c r="A2739" s="9">
        <v>2736</v>
      </c>
      <c r="B2739" s="10" t="s">
        <v>1230</v>
      </c>
      <c r="C2739" s="10" t="s">
        <v>1231</v>
      </c>
      <c r="D2739" s="10" t="s">
        <v>2703</v>
      </c>
      <c r="E2739" s="10" t="str">
        <f>"644020240517144224185385"</f>
        <v>644020240517144224185385</v>
      </c>
      <c r="F2739" s="9"/>
    </row>
    <row r="2740" s="2" customFormat="1" ht="30" customHeight="1" spans="1:6">
      <c r="A2740" s="9">
        <v>2737</v>
      </c>
      <c r="B2740" s="10" t="s">
        <v>1230</v>
      </c>
      <c r="C2740" s="10" t="s">
        <v>1231</v>
      </c>
      <c r="D2740" s="10" t="s">
        <v>2704</v>
      </c>
      <c r="E2740" s="10" t="str">
        <f>"644020240517180707185807"</f>
        <v>644020240517180707185807</v>
      </c>
      <c r="F2740" s="9"/>
    </row>
    <row r="2741" s="2" customFormat="1" ht="30" customHeight="1" spans="1:6">
      <c r="A2741" s="9">
        <v>2738</v>
      </c>
      <c r="B2741" s="10" t="s">
        <v>1230</v>
      </c>
      <c r="C2741" s="10" t="s">
        <v>1231</v>
      </c>
      <c r="D2741" s="10" t="s">
        <v>2705</v>
      </c>
      <c r="E2741" s="10" t="str">
        <f>"644020240517175958185792"</f>
        <v>644020240517175958185792</v>
      </c>
      <c r="F2741" s="9"/>
    </row>
    <row r="2742" s="2" customFormat="1" ht="30" customHeight="1" spans="1:6">
      <c r="A2742" s="9">
        <v>2739</v>
      </c>
      <c r="B2742" s="10" t="s">
        <v>1230</v>
      </c>
      <c r="C2742" s="10" t="s">
        <v>1231</v>
      </c>
      <c r="D2742" s="10" t="s">
        <v>2706</v>
      </c>
      <c r="E2742" s="10" t="str">
        <f>"644020240517195300185919"</f>
        <v>644020240517195300185919</v>
      </c>
      <c r="F2742" s="9"/>
    </row>
    <row r="2743" s="2" customFormat="1" ht="30" customHeight="1" spans="1:6">
      <c r="A2743" s="9">
        <v>2740</v>
      </c>
      <c r="B2743" s="10" t="s">
        <v>1230</v>
      </c>
      <c r="C2743" s="10" t="s">
        <v>1231</v>
      </c>
      <c r="D2743" s="10" t="s">
        <v>2707</v>
      </c>
      <c r="E2743" s="10" t="str">
        <f>"644020240517195204185917"</f>
        <v>644020240517195204185917</v>
      </c>
      <c r="F2743" s="9"/>
    </row>
    <row r="2744" s="2" customFormat="1" ht="30" customHeight="1" spans="1:6">
      <c r="A2744" s="9">
        <v>2741</v>
      </c>
      <c r="B2744" s="10" t="s">
        <v>1230</v>
      </c>
      <c r="C2744" s="10" t="s">
        <v>1231</v>
      </c>
      <c r="D2744" s="10" t="s">
        <v>2708</v>
      </c>
      <c r="E2744" s="10" t="str">
        <f>"644020240517194837185913"</f>
        <v>644020240517194837185913</v>
      </c>
      <c r="F2744" s="9"/>
    </row>
    <row r="2745" s="2" customFormat="1" ht="30" customHeight="1" spans="1:6">
      <c r="A2745" s="9">
        <v>2742</v>
      </c>
      <c r="B2745" s="10" t="s">
        <v>1230</v>
      </c>
      <c r="C2745" s="10" t="s">
        <v>1231</v>
      </c>
      <c r="D2745" s="10" t="s">
        <v>2709</v>
      </c>
      <c r="E2745" s="10" t="str">
        <f>"644020240512113413168905"</f>
        <v>644020240512113413168905</v>
      </c>
      <c r="F2745" s="9"/>
    </row>
    <row r="2746" s="2" customFormat="1" ht="30" customHeight="1" spans="1:6">
      <c r="A2746" s="9">
        <v>2743</v>
      </c>
      <c r="B2746" s="10" t="s">
        <v>1230</v>
      </c>
      <c r="C2746" s="10" t="s">
        <v>1231</v>
      </c>
      <c r="D2746" s="10" t="s">
        <v>344</v>
      </c>
      <c r="E2746" s="10" t="str">
        <f>"644020240513171035176145"</f>
        <v>644020240513171035176145</v>
      </c>
      <c r="F2746" s="9"/>
    </row>
    <row r="2747" s="2" customFormat="1" ht="30" customHeight="1" spans="1:6">
      <c r="A2747" s="9">
        <v>2744</v>
      </c>
      <c r="B2747" s="10" t="s">
        <v>1230</v>
      </c>
      <c r="C2747" s="10" t="s">
        <v>1231</v>
      </c>
      <c r="D2747" s="10" t="s">
        <v>2710</v>
      </c>
      <c r="E2747" s="10" t="str">
        <f>"644020240517201930185936"</f>
        <v>644020240517201930185936</v>
      </c>
      <c r="F2747" s="9"/>
    </row>
    <row r="2748" s="2" customFormat="1" ht="30" customHeight="1" spans="1:6">
      <c r="A2748" s="9">
        <v>2745</v>
      </c>
      <c r="B2748" s="10" t="s">
        <v>1230</v>
      </c>
      <c r="C2748" s="10" t="s">
        <v>1231</v>
      </c>
      <c r="D2748" s="10" t="s">
        <v>2711</v>
      </c>
      <c r="E2748" s="10" t="str">
        <f>"644020240517195503185921"</f>
        <v>644020240517195503185921</v>
      </c>
      <c r="F2748" s="9"/>
    </row>
    <row r="2749" s="2" customFormat="1" ht="30" customHeight="1" spans="1:6">
      <c r="A2749" s="9">
        <v>2746</v>
      </c>
      <c r="B2749" s="10" t="s">
        <v>1230</v>
      </c>
      <c r="C2749" s="10" t="s">
        <v>1231</v>
      </c>
      <c r="D2749" s="10" t="s">
        <v>2712</v>
      </c>
      <c r="E2749" s="10" t="str">
        <f>"644020240512153255169775"</f>
        <v>644020240512153255169775</v>
      </c>
      <c r="F2749" s="9"/>
    </row>
    <row r="2750" s="2" customFormat="1" ht="30" customHeight="1" spans="1:6">
      <c r="A2750" s="9">
        <v>2747</v>
      </c>
      <c r="B2750" s="10" t="s">
        <v>1230</v>
      </c>
      <c r="C2750" s="10" t="s">
        <v>1231</v>
      </c>
      <c r="D2750" s="10" t="s">
        <v>2713</v>
      </c>
      <c r="E2750" s="10" t="str">
        <f>"644020240517124132185155"</f>
        <v>644020240517124132185155</v>
      </c>
      <c r="F2750" s="9"/>
    </row>
    <row r="2751" s="2" customFormat="1" ht="30" customHeight="1" spans="1:6">
      <c r="A2751" s="9">
        <v>2748</v>
      </c>
      <c r="B2751" s="10" t="s">
        <v>1230</v>
      </c>
      <c r="C2751" s="10" t="s">
        <v>1231</v>
      </c>
      <c r="D2751" s="10" t="s">
        <v>2714</v>
      </c>
      <c r="E2751" s="10" t="str">
        <f>"644020240517120557185087"</f>
        <v>644020240517120557185087</v>
      </c>
      <c r="F2751" s="9"/>
    </row>
    <row r="2752" s="2" customFormat="1" ht="30" customHeight="1" spans="1:6">
      <c r="A2752" s="9">
        <v>2749</v>
      </c>
      <c r="B2752" s="10" t="s">
        <v>1230</v>
      </c>
      <c r="C2752" s="10" t="s">
        <v>1231</v>
      </c>
      <c r="D2752" s="10" t="s">
        <v>2715</v>
      </c>
      <c r="E2752" s="10" t="str">
        <f>"644020240516184414183956"</f>
        <v>644020240516184414183956</v>
      </c>
      <c r="F2752" s="9"/>
    </row>
    <row r="2753" s="2" customFormat="1" ht="30" customHeight="1" spans="1:6">
      <c r="A2753" s="9">
        <v>2750</v>
      </c>
      <c r="B2753" s="10" t="s">
        <v>1230</v>
      </c>
      <c r="C2753" s="10" t="s">
        <v>1231</v>
      </c>
      <c r="D2753" s="10" t="s">
        <v>2716</v>
      </c>
      <c r="E2753" s="10" t="str">
        <f>"644020240514145047179178"</f>
        <v>644020240514145047179178</v>
      </c>
      <c r="F2753" s="9"/>
    </row>
    <row r="2754" s="2" customFormat="1" ht="30" customHeight="1" spans="1:6">
      <c r="A2754" s="9">
        <v>2751</v>
      </c>
      <c r="B2754" s="10" t="s">
        <v>1230</v>
      </c>
      <c r="C2754" s="10" t="s">
        <v>1231</v>
      </c>
      <c r="D2754" s="10" t="s">
        <v>2717</v>
      </c>
      <c r="E2754" s="10" t="str">
        <f>"644020240517160951185611"</f>
        <v>644020240517160951185611</v>
      </c>
      <c r="F2754" s="9"/>
    </row>
    <row r="2755" s="2" customFormat="1" ht="30" customHeight="1" spans="1:6">
      <c r="A2755" s="9">
        <v>2752</v>
      </c>
      <c r="B2755" s="10" t="s">
        <v>1230</v>
      </c>
      <c r="C2755" s="10" t="s">
        <v>1231</v>
      </c>
      <c r="D2755" s="10" t="s">
        <v>2718</v>
      </c>
      <c r="E2755" s="10" t="str">
        <f>"644020240517211029185970"</f>
        <v>644020240517211029185970</v>
      </c>
      <c r="F2755" s="9"/>
    </row>
    <row r="2756" s="2" customFormat="1" ht="30" customHeight="1" spans="1:6">
      <c r="A2756" s="9">
        <v>2753</v>
      </c>
      <c r="B2756" s="10" t="s">
        <v>1230</v>
      </c>
      <c r="C2756" s="10" t="s">
        <v>1231</v>
      </c>
      <c r="D2756" s="10" t="s">
        <v>2719</v>
      </c>
      <c r="E2756" s="10" t="str">
        <f>"644020240513113707174010"</f>
        <v>644020240513113707174010</v>
      </c>
      <c r="F2756" s="9"/>
    </row>
    <row r="2757" s="2" customFormat="1" ht="30" customHeight="1" spans="1:6">
      <c r="A2757" s="9">
        <v>2754</v>
      </c>
      <c r="B2757" s="10" t="s">
        <v>1230</v>
      </c>
      <c r="C2757" s="10" t="s">
        <v>1231</v>
      </c>
      <c r="D2757" s="10" t="s">
        <v>2720</v>
      </c>
      <c r="E2757" s="10" t="str">
        <f>"644020240517125452185187"</f>
        <v>644020240517125452185187</v>
      </c>
      <c r="F2757" s="9"/>
    </row>
    <row r="2758" s="2" customFormat="1" ht="30" customHeight="1" spans="1:6">
      <c r="A2758" s="9">
        <v>2755</v>
      </c>
      <c r="B2758" s="10" t="s">
        <v>1230</v>
      </c>
      <c r="C2758" s="10" t="s">
        <v>1231</v>
      </c>
      <c r="D2758" s="10" t="s">
        <v>2721</v>
      </c>
      <c r="E2758" s="10" t="str">
        <f>"644020240517184907185855"</f>
        <v>644020240517184907185855</v>
      </c>
      <c r="F2758" s="9"/>
    </row>
    <row r="2759" s="2" customFormat="1" ht="30" customHeight="1" spans="1:6">
      <c r="A2759" s="9">
        <v>2756</v>
      </c>
      <c r="B2759" s="10" t="s">
        <v>1230</v>
      </c>
      <c r="C2759" s="10" t="s">
        <v>1231</v>
      </c>
      <c r="D2759" s="10" t="s">
        <v>2722</v>
      </c>
      <c r="E2759" s="10" t="str">
        <f>"644020240516215100184191"</f>
        <v>644020240516215100184191</v>
      </c>
      <c r="F2759" s="9"/>
    </row>
    <row r="2760" s="2" customFormat="1" ht="30" customHeight="1" spans="1:6">
      <c r="A2760" s="9">
        <v>2757</v>
      </c>
      <c r="B2760" s="10" t="s">
        <v>1230</v>
      </c>
      <c r="C2760" s="10" t="s">
        <v>1231</v>
      </c>
      <c r="D2760" s="10" t="s">
        <v>127</v>
      </c>
      <c r="E2760" s="10" t="str">
        <f>"644020240517124738185167"</f>
        <v>644020240517124738185167</v>
      </c>
      <c r="F2760" s="9"/>
    </row>
    <row r="2761" s="2" customFormat="1" ht="30" customHeight="1" spans="1:6">
      <c r="A2761" s="9">
        <v>2758</v>
      </c>
      <c r="B2761" s="10" t="s">
        <v>1230</v>
      </c>
      <c r="C2761" s="10" t="s">
        <v>1231</v>
      </c>
      <c r="D2761" s="10" t="s">
        <v>2723</v>
      </c>
      <c r="E2761" s="10" t="str">
        <f>"644020240517182059185825"</f>
        <v>644020240517182059185825</v>
      </c>
      <c r="F2761" s="9"/>
    </row>
    <row r="2762" s="2" customFormat="1" ht="30" customHeight="1" spans="1:6">
      <c r="A2762" s="9">
        <v>2759</v>
      </c>
      <c r="B2762" s="10" t="s">
        <v>1230</v>
      </c>
      <c r="C2762" s="10" t="s">
        <v>1231</v>
      </c>
      <c r="D2762" s="10" t="s">
        <v>2724</v>
      </c>
      <c r="E2762" s="10" t="str">
        <f>"644020240517212540185982"</f>
        <v>644020240517212540185982</v>
      </c>
      <c r="F2762" s="9"/>
    </row>
    <row r="2763" s="2" customFormat="1" ht="30" customHeight="1" spans="1:6">
      <c r="A2763" s="9">
        <v>2760</v>
      </c>
      <c r="B2763" s="10" t="s">
        <v>1230</v>
      </c>
      <c r="C2763" s="10" t="s">
        <v>1231</v>
      </c>
      <c r="D2763" s="10" t="s">
        <v>2725</v>
      </c>
      <c r="E2763" s="10" t="str">
        <f>"644020240517215421186037"</f>
        <v>644020240517215421186037</v>
      </c>
      <c r="F2763" s="9"/>
    </row>
    <row r="2764" s="2" customFormat="1" ht="30" customHeight="1" spans="1:6">
      <c r="A2764" s="9">
        <v>2761</v>
      </c>
      <c r="B2764" s="10" t="s">
        <v>1230</v>
      </c>
      <c r="C2764" s="10" t="s">
        <v>1231</v>
      </c>
      <c r="D2764" s="10" t="s">
        <v>2726</v>
      </c>
      <c r="E2764" s="10" t="str">
        <f>"644020240517215524186043"</f>
        <v>644020240517215524186043</v>
      </c>
      <c r="F2764" s="9"/>
    </row>
    <row r="2765" s="2" customFormat="1" ht="30" customHeight="1" spans="1:6">
      <c r="A2765" s="9">
        <v>2762</v>
      </c>
      <c r="B2765" s="10" t="s">
        <v>1230</v>
      </c>
      <c r="C2765" s="10" t="s">
        <v>1231</v>
      </c>
      <c r="D2765" s="10" t="s">
        <v>2727</v>
      </c>
      <c r="E2765" s="10" t="str">
        <f>"644020240516095734182945"</f>
        <v>644020240516095734182945</v>
      </c>
      <c r="F2765" s="9"/>
    </row>
    <row r="2766" s="2" customFormat="1" ht="30" customHeight="1" spans="1:6">
      <c r="A2766" s="9">
        <v>2763</v>
      </c>
      <c r="B2766" s="10" t="s">
        <v>1230</v>
      </c>
      <c r="C2766" s="10" t="s">
        <v>1231</v>
      </c>
      <c r="D2766" s="10" t="s">
        <v>2728</v>
      </c>
      <c r="E2766" s="10" t="str">
        <f>"644020240516085549182802"</f>
        <v>644020240516085549182802</v>
      </c>
      <c r="F2766" s="9"/>
    </row>
    <row r="2767" s="2" customFormat="1" ht="30" customHeight="1" spans="1:6">
      <c r="A2767" s="9">
        <v>2764</v>
      </c>
      <c r="B2767" s="10" t="s">
        <v>1230</v>
      </c>
      <c r="C2767" s="10" t="s">
        <v>1231</v>
      </c>
      <c r="D2767" s="10" t="s">
        <v>2729</v>
      </c>
      <c r="E2767" s="10" t="str">
        <f>"644020240515221334182373"</f>
        <v>644020240515221334182373</v>
      </c>
      <c r="F2767" s="9"/>
    </row>
    <row r="2768" s="2" customFormat="1" ht="30" customHeight="1" spans="1:6">
      <c r="A2768" s="9">
        <v>2765</v>
      </c>
      <c r="B2768" s="10" t="s">
        <v>1230</v>
      </c>
      <c r="C2768" s="10" t="s">
        <v>1231</v>
      </c>
      <c r="D2768" s="10" t="s">
        <v>2730</v>
      </c>
      <c r="E2768" s="10" t="str">
        <f>"644020240517125305185182"</f>
        <v>644020240517125305185182</v>
      </c>
      <c r="F2768" s="9"/>
    </row>
    <row r="2769" s="2" customFormat="1" ht="30" customHeight="1" spans="1:6">
      <c r="A2769" s="9">
        <v>2766</v>
      </c>
      <c r="B2769" s="10" t="s">
        <v>1230</v>
      </c>
      <c r="C2769" s="10" t="s">
        <v>1231</v>
      </c>
      <c r="D2769" s="10" t="s">
        <v>2731</v>
      </c>
      <c r="E2769" s="10" t="str">
        <f>"644020240517214726186030"</f>
        <v>644020240517214726186030</v>
      </c>
      <c r="F2769" s="9"/>
    </row>
    <row r="2770" s="2" customFormat="1" ht="30" customHeight="1" spans="1:6">
      <c r="A2770" s="9">
        <v>2767</v>
      </c>
      <c r="B2770" s="10" t="s">
        <v>1230</v>
      </c>
      <c r="C2770" s="10" t="s">
        <v>1231</v>
      </c>
      <c r="D2770" s="10" t="s">
        <v>810</v>
      </c>
      <c r="E2770" s="10" t="str">
        <f>"644020240516140013183401"</f>
        <v>644020240516140013183401</v>
      </c>
      <c r="F2770" s="9"/>
    </row>
    <row r="2771" s="2" customFormat="1" ht="30" customHeight="1" spans="1:6">
      <c r="A2771" s="9">
        <v>2768</v>
      </c>
      <c r="B2771" s="10" t="s">
        <v>1230</v>
      </c>
      <c r="C2771" s="10" t="s">
        <v>1231</v>
      </c>
      <c r="D2771" s="10" t="s">
        <v>2732</v>
      </c>
      <c r="E2771" s="10" t="str">
        <f>"644020240517072304184573"</f>
        <v>644020240517072304184573</v>
      </c>
      <c r="F2771" s="9"/>
    </row>
    <row r="2772" s="2" customFormat="1" ht="30" customHeight="1" spans="1:6">
      <c r="A2772" s="9">
        <v>2769</v>
      </c>
      <c r="B2772" s="10" t="s">
        <v>1230</v>
      </c>
      <c r="C2772" s="10" t="s">
        <v>1231</v>
      </c>
      <c r="D2772" s="10" t="s">
        <v>2733</v>
      </c>
      <c r="E2772" s="10" t="str">
        <f>"644020240517125038185174"</f>
        <v>644020240517125038185174</v>
      </c>
      <c r="F2772" s="9"/>
    </row>
    <row r="2773" s="2" customFormat="1" ht="30" customHeight="1" spans="1:6">
      <c r="A2773" s="9">
        <v>2770</v>
      </c>
      <c r="B2773" s="10" t="s">
        <v>1230</v>
      </c>
      <c r="C2773" s="10" t="s">
        <v>1231</v>
      </c>
      <c r="D2773" s="10" t="s">
        <v>2734</v>
      </c>
      <c r="E2773" s="10" t="str">
        <f>"644020240517165030185684"</f>
        <v>644020240517165030185684</v>
      </c>
      <c r="F2773" s="9"/>
    </row>
    <row r="2774" s="2" customFormat="1" ht="30" customHeight="1" spans="1:6">
      <c r="A2774" s="9">
        <v>2771</v>
      </c>
      <c r="B2774" s="10" t="s">
        <v>1230</v>
      </c>
      <c r="C2774" s="10" t="s">
        <v>1231</v>
      </c>
      <c r="D2774" s="10" t="s">
        <v>2735</v>
      </c>
      <c r="E2774" s="10" t="str">
        <f>"644020240517223023186053"</f>
        <v>644020240517223023186053</v>
      </c>
      <c r="F2774" s="9"/>
    </row>
    <row r="2775" s="2" customFormat="1" ht="30" customHeight="1" spans="1:6">
      <c r="A2775" s="9">
        <v>2772</v>
      </c>
      <c r="B2775" s="10" t="s">
        <v>1230</v>
      </c>
      <c r="C2775" s="10" t="s">
        <v>1231</v>
      </c>
      <c r="D2775" s="10" t="s">
        <v>2736</v>
      </c>
      <c r="E2775" s="10" t="str">
        <f>"644020240517223409186068"</f>
        <v>644020240517223409186068</v>
      </c>
      <c r="F2775" s="9"/>
    </row>
    <row r="2776" s="2" customFormat="1" ht="30" customHeight="1" spans="1:6">
      <c r="A2776" s="9">
        <v>2773</v>
      </c>
      <c r="B2776" s="10" t="s">
        <v>1230</v>
      </c>
      <c r="C2776" s="10" t="s">
        <v>1231</v>
      </c>
      <c r="D2776" s="10" t="s">
        <v>2737</v>
      </c>
      <c r="E2776" s="10" t="str">
        <f>"644020240517174926185776"</f>
        <v>644020240517174926185776</v>
      </c>
      <c r="F2776" s="9"/>
    </row>
    <row r="2777" s="2" customFormat="1" ht="30" customHeight="1" spans="1:6">
      <c r="A2777" s="9">
        <v>2774</v>
      </c>
      <c r="B2777" s="10" t="s">
        <v>1230</v>
      </c>
      <c r="C2777" s="10" t="s">
        <v>1231</v>
      </c>
      <c r="D2777" s="10" t="s">
        <v>2738</v>
      </c>
      <c r="E2777" s="10" t="str">
        <f>"644020240516230259184361"</f>
        <v>644020240516230259184361</v>
      </c>
      <c r="F2777" s="9"/>
    </row>
    <row r="2778" s="2" customFormat="1" ht="30" customHeight="1" spans="1:6">
      <c r="A2778" s="9">
        <v>2775</v>
      </c>
      <c r="B2778" s="10" t="s">
        <v>1230</v>
      </c>
      <c r="C2778" s="10" t="s">
        <v>1231</v>
      </c>
      <c r="D2778" s="10" t="s">
        <v>2739</v>
      </c>
      <c r="E2778" s="10" t="str">
        <f>"644020240517232201186082"</f>
        <v>644020240517232201186082</v>
      </c>
      <c r="F2778" s="9"/>
    </row>
    <row r="2779" s="2" customFormat="1" ht="30" customHeight="1" spans="1:6">
      <c r="A2779" s="9">
        <v>2776</v>
      </c>
      <c r="B2779" s="10" t="s">
        <v>1230</v>
      </c>
      <c r="C2779" s="10" t="s">
        <v>1231</v>
      </c>
      <c r="D2779" s="10" t="s">
        <v>2740</v>
      </c>
      <c r="E2779" s="10" t="str">
        <f>"644020240517232249186087"</f>
        <v>644020240517232249186087</v>
      </c>
      <c r="F2779" s="9"/>
    </row>
    <row r="2780" s="2" customFormat="1" ht="30" customHeight="1" spans="1:6">
      <c r="A2780" s="9">
        <v>2777</v>
      </c>
      <c r="B2780" s="10" t="s">
        <v>1230</v>
      </c>
      <c r="C2780" s="10" t="s">
        <v>1231</v>
      </c>
      <c r="D2780" s="10" t="s">
        <v>2741</v>
      </c>
      <c r="E2780" s="10" t="str">
        <f>"644020240517232956186104"</f>
        <v>644020240517232956186104</v>
      </c>
      <c r="F2780" s="9"/>
    </row>
    <row r="2781" s="2" customFormat="1" ht="30" customHeight="1" spans="1:6">
      <c r="A2781" s="9">
        <v>2778</v>
      </c>
      <c r="B2781" s="10" t="s">
        <v>1230</v>
      </c>
      <c r="C2781" s="10" t="s">
        <v>1231</v>
      </c>
      <c r="D2781" s="10" t="s">
        <v>2742</v>
      </c>
      <c r="E2781" s="10" t="str">
        <f>"644020240517232910186102"</f>
        <v>644020240517232910186102</v>
      </c>
      <c r="F2781" s="9"/>
    </row>
    <row r="2782" s="2" customFormat="1" ht="30" customHeight="1" spans="1:6">
      <c r="A2782" s="9">
        <v>2779</v>
      </c>
      <c r="B2782" s="10" t="s">
        <v>1230</v>
      </c>
      <c r="C2782" s="10" t="s">
        <v>1231</v>
      </c>
      <c r="D2782" s="10" t="s">
        <v>2743</v>
      </c>
      <c r="E2782" s="10" t="str">
        <f>"644020240517152909185507"</f>
        <v>644020240517152909185507</v>
      </c>
      <c r="F2782" s="9"/>
    </row>
    <row r="2783" s="2" customFormat="1" ht="30" customHeight="1" spans="1:6">
      <c r="A2783" s="9">
        <v>2780</v>
      </c>
      <c r="B2783" s="10" t="s">
        <v>1230</v>
      </c>
      <c r="C2783" s="10" t="s">
        <v>1231</v>
      </c>
      <c r="D2783" s="10" t="s">
        <v>2744</v>
      </c>
      <c r="E2783" s="10" t="str">
        <f>"644020240517234529186129"</f>
        <v>644020240517234529186129</v>
      </c>
      <c r="F2783" s="9"/>
    </row>
    <row r="2784" s="2" customFormat="1" ht="30" customHeight="1" spans="1:6">
      <c r="A2784" s="9">
        <v>2781</v>
      </c>
      <c r="B2784" s="10" t="s">
        <v>1230</v>
      </c>
      <c r="C2784" s="10" t="s">
        <v>1231</v>
      </c>
      <c r="D2784" s="10" t="s">
        <v>2745</v>
      </c>
      <c r="E2784" s="10" t="str">
        <f>"644020240516093759182895"</f>
        <v>644020240516093759182895</v>
      </c>
      <c r="F2784" s="9"/>
    </row>
    <row r="2785" s="2" customFormat="1" ht="30" customHeight="1" spans="1:6">
      <c r="A2785" s="9">
        <v>2782</v>
      </c>
      <c r="B2785" s="10" t="s">
        <v>1230</v>
      </c>
      <c r="C2785" s="10" t="s">
        <v>1231</v>
      </c>
      <c r="D2785" s="10" t="s">
        <v>2746</v>
      </c>
      <c r="E2785" s="10" t="str">
        <f>"644020240517150008185425"</f>
        <v>644020240517150008185425</v>
      </c>
      <c r="F2785" s="9"/>
    </row>
    <row r="2786" s="2" customFormat="1" ht="30" customHeight="1" spans="1:6">
      <c r="A2786" s="9">
        <v>2783</v>
      </c>
      <c r="B2786" s="10" t="s">
        <v>1230</v>
      </c>
      <c r="C2786" s="10" t="s">
        <v>1231</v>
      </c>
      <c r="D2786" s="10" t="s">
        <v>2747</v>
      </c>
      <c r="E2786" s="10" t="str">
        <f>"644020240518001819186180"</f>
        <v>644020240518001819186180</v>
      </c>
      <c r="F2786" s="9"/>
    </row>
    <row r="2787" s="2" customFormat="1" ht="30" customHeight="1" spans="1:6">
      <c r="A2787" s="9">
        <v>2784</v>
      </c>
      <c r="B2787" s="10" t="s">
        <v>1230</v>
      </c>
      <c r="C2787" s="10" t="s">
        <v>1231</v>
      </c>
      <c r="D2787" s="10" t="s">
        <v>2748</v>
      </c>
      <c r="E2787" s="10" t="str">
        <f>"644020240516170058183771"</f>
        <v>644020240516170058183771</v>
      </c>
      <c r="F2787" s="9"/>
    </row>
    <row r="2788" s="2" customFormat="1" ht="30" customHeight="1" spans="1:6">
      <c r="A2788" s="9">
        <v>2785</v>
      </c>
      <c r="B2788" s="10" t="s">
        <v>1230</v>
      </c>
      <c r="C2788" s="10" t="s">
        <v>1231</v>
      </c>
      <c r="D2788" s="10" t="s">
        <v>2749</v>
      </c>
      <c r="E2788" s="10" t="str">
        <f>"644020240518000054186155"</f>
        <v>644020240518000054186155</v>
      </c>
      <c r="F2788" s="9"/>
    </row>
    <row r="2789" s="2" customFormat="1" ht="30" customHeight="1" spans="1:6">
      <c r="A2789" s="9">
        <v>2786</v>
      </c>
      <c r="B2789" s="10" t="s">
        <v>1230</v>
      </c>
      <c r="C2789" s="10" t="s">
        <v>1231</v>
      </c>
      <c r="D2789" s="10" t="s">
        <v>2750</v>
      </c>
      <c r="E2789" s="10" t="str">
        <f>"644020240517234529186128"</f>
        <v>644020240517234529186128</v>
      </c>
      <c r="F2789" s="9"/>
    </row>
    <row r="2790" s="2" customFormat="1" ht="30" customHeight="1" spans="1:6">
      <c r="A2790" s="9">
        <v>2787</v>
      </c>
      <c r="B2790" s="10" t="s">
        <v>1230</v>
      </c>
      <c r="C2790" s="10" t="s">
        <v>1231</v>
      </c>
      <c r="D2790" s="10" t="s">
        <v>2751</v>
      </c>
      <c r="E2790" s="10" t="str">
        <f>"644020240518003930186202"</f>
        <v>644020240518003930186202</v>
      </c>
      <c r="F2790" s="9"/>
    </row>
    <row r="2791" s="2" customFormat="1" ht="30" customHeight="1" spans="1:6">
      <c r="A2791" s="9">
        <v>2788</v>
      </c>
      <c r="B2791" s="10" t="s">
        <v>1230</v>
      </c>
      <c r="C2791" s="10" t="s">
        <v>1231</v>
      </c>
      <c r="D2791" s="10" t="s">
        <v>2752</v>
      </c>
      <c r="E2791" s="10" t="str">
        <f>"644020240518004247186209"</f>
        <v>644020240518004247186209</v>
      </c>
      <c r="F2791" s="9"/>
    </row>
    <row r="2792" s="2" customFormat="1" ht="30" customHeight="1" spans="1:6">
      <c r="A2792" s="9">
        <v>2789</v>
      </c>
      <c r="B2792" s="10" t="s">
        <v>1230</v>
      </c>
      <c r="C2792" s="10" t="s">
        <v>1231</v>
      </c>
      <c r="D2792" s="10" t="s">
        <v>2753</v>
      </c>
      <c r="E2792" s="10" t="str">
        <f>"644020240516125738183329"</f>
        <v>644020240516125738183329</v>
      </c>
      <c r="F2792" s="9"/>
    </row>
    <row r="2793" s="2" customFormat="1" ht="30" customHeight="1" spans="1:6">
      <c r="A2793" s="9">
        <v>2790</v>
      </c>
      <c r="B2793" s="10" t="s">
        <v>1230</v>
      </c>
      <c r="C2793" s="10" t="s">
        <v>1231</v>
      </c>
      <c r="D2793" s="10" t="s">
        <v>2754</v>
      </c>
      <c r="E2793" s="10" t="str">
        <f>"644020240518005834186226"</f>
        <v>644020240518005834186226</v>
      </c>
      <c r="F2793" s="9"/>
    </row>
    <row r="2794" s="2" customFormat="1" ht="30" customHeight="1" spans="1:6">
      <c r="A2794" s="9">
        <v>2791</v>
      </c>
      <c r="B2794" s="10" t="s">
        <v>1230</v>
      </c>
      <c r="C2794" s="10" t="s">
        <v>1231</v>
      </c>
      <c r="D2794" s="10" t="s">
        <v>2755</v>
      </c>
      <c r="E2794" s="10" t="str">
        <f>"644020240518011152186239"</f>
        <v>644020240518011152186239</v>
      </c>
      <c r="F2794" s="9"/>
    </row>
    <row r="2795" s="2" customFormat="1" ht="30" customHeight="1" spans="1:6">
      <c r="A2795" s="9">
        <v>2792</v>
      </c>
      <c r="B2795" s="10" t="s">
        <v>1230</v>
      </c>
      <c r="C2795" s="10" t="s">
        <v>1231</v>
      </c>
      <c r="D2795" s="10" t="s">
        <v>2756</v>
      </c>
      <c r="E2795" s="10" t="str">
        <f>"644020240518012200186245"</f>
        <v>644020240518012200186245</v>
      </c>
      <c r="F2795" s="9"/>
    </row>
    <row r="2796" s="2" customFormat="1" ht="30" customHeight="1" spans="1:6">
      <c r="A2796" s="9">
        <v>2793</v>
      </c>
      <c r="B2796" s="10" t="s">
        <v>1230</v>
      </c>
      <c r="C2796" s="10" t="s">
        <v>1231</v>
      </c>
      <c r="D2796" s="10" t="s">
        <v>2757</v>
      </c>
      <c r="E2796" s="10" t="str">
        <f>"644020240517223046186057"</f>
        <v>644020240517223046186057</v>
      </c>
      <c r="F2796" s="9"/>
    </row>
    <row r="2797" s="2" customFormat="1" ht="30" customHeight="1" spans="1:6">
      <c r="A2797" s="9">
        <v>2794</v>
      </c>
      <c r="B2797" s="10" t="s">
        <v>1230</v>
      </c>
      <c r="C2797" s="10" t="s">
        <v>1231</v>
      </c>
      <c r="D2797" s="10" t="s">
        <v>2758</v>
      </c>
      <c r="E2797" s="10" t="str">
        <f>"644020240518005914186227"</f>
        <v>644020240518005914186227</v>
      </c>
      <c r="F2797" s="9"/>
    </row>
    <row r="2798" s="2" customFormat="1" ht="30" customHeight="1" spans="1:6">
      <c r="A2798" s="9">
        <v>2795</v>
      </c>
      <c r="B2798" s="10" t="s">
        <v>1230</v>
      </c>
      <c r="C2798" s="10" t="s">
        <v>1231</v>
      </c>
      <c r="D2798" s="10" t="s">
        <v>2759</v>
      </c>
      <c r="E2798" s="10" t="str">
        <f>"644020240518031004186293"</f>
        <v>644020240518031004186293</v>
      </c>
      <c r="F2798" s="9"/>
    </row>
    <row r="2799" s="2" customFormat="1" ht="30" customHeight="1" spans="1:6">
      <c r="A2799" s="9">
        <v>2796</v>
      </c>
      <c r="B2799" s="10" t="s">
        <v>1230</v>
      </c>
      <c r="C2799" s="10" t="s">
        <v>1231</v>
      </c>
      <c r="D2799" s="10" t="s">
        <v>2760</v>
      </c>
      <c r="E2799" s="10" t="str">
        <f>"644020240513234444177614"</f>
        <v>644020240513234444177614</v>
      </c>
      <c r="F2799" s="9"/>
    </row>
    <row r="2800" s="2" customFormat="1" ht="30" customHeight="1" spans="1:6">
      <c r="A2800" s="9">
        <v>2797</v>
      </c>
      <c r="B2800" s="10" t="s">
        <v>1230</v>
      </c>
      <c r="C2800" s="10" t="s">
        <v>1231</v>
      </c>
      <c r="D2800" s="10" t="s">
        <v>2761</v>
      </c>
      <c r="E2800" s="10" t="str">
        <f>"644020240518072840186341"</f>
        <v>644020240518072840186341</v>
      </c>
      <c r="F2800" s="9"/>
    </row>
    <row r="2801" s="2" customFormat="1" ht="30" customHeight="1" spans="1:6">
      <c r="A2801" s="9">
        <v>2798</v>
      </c>
      <c r="B2801" s="10" t="s">
        <v>1230</v>
      </c>
      <c r="C2801" s="10" t="s">
        <v>1231</v>
      </c>
      <c r="D2801" s="10" t="s">
        <v>2762</v>
      </c>
      <c r="E2801" s="10" t="str">
        <f>"644020240517202111185940"</f>
        <v>644020240517202111185940</v>
      </c>
      <c r="F2801" s="9"/>
    </row>
    <row r="2802" s="2" customFormat="1" ht="30" customHeight="1" spans="1:6">
      <c r="A2802" s="9">
        <v>2799</v>
      </c>
      <c r="B2802" s="10" t="s">
        <v>1230</v>
      </c>
      <c r="C2802" s="10" t="s">
        <v>1231</v>
      </c>
      <c r="D2802" s="10" t="s">
        <v>2763</v>
      </c>
      <c r="E2802" s="10" t="str">
        <f>"644020240517091450184713"</f>
        <v>644020240517091450184713</v>
      </c>
      <c r="F2802" s="9"/>
    </row>
    <row r="2803" s="2" customFormat="1" ht="30" customHeight="1" spans="1:6">
      <c r="A2803" s="9">
        <v>2800</v>
      </c>
      <c r="B2803" s="10" t="s">
        <v>1230</v>
      </c>
      <c r="C2803" s="10" t="s">
        <v>1231</v>
      </c>
      <c r="D2803" s="10" t="s">
        <v>2764</v>
      </c>
      <c r="E2803" s="10" t="str">
        <f>"644020240518080328186368"</f>
        <v>644020240518080328186368</v>
      </c>
      <c r="F2803" s="9"/>
    </row>
    <row r="2804" s="2" customFormat="1" ht="30" customHeight="1" spans="1:6">
      <c r="A2804" s="9">
        <v>2801</v>
      </c>
      <c r="B2804" s="10" t="s">
        <v>1230</v>
      </c>
      <c r="C2804" s="10" t="s">
        <v>1231</v>
      </c>
      <c r="D2804" s="10" t="s">
        <v>2765</v>
      </c>
      <c r="E2804" s="10" t="str">
        <f>"644020240518074235186351"</f>
        <v>644020240518074235186351</v>
      </c>
      <c r="F2804" s="9"/>
    </row>
    <row r="2805" s="2" customFormat="1" ht="30" customHeight="1" spans="1:6">
      <c r="A2805" s="9">
        <v>2802</v>
      </c>
      <c r="B2805" s="10" t="s">
        <v>1230</v>
      </c>
      <c r="C2805" s="10" t="s">
        <v>1231</v>
      </c>
      <c r="D2805" s="10" t="s">
        <v>2766</v>
      </c>
      <c r="E2805" s="10" t="str">
        <f>"644020240513004504172006"</f>
        <v>644020240513004504172006</v>
      </c>
      <c r="F2805" s="9"/>
    </row>
    <row r="2806" s="2" customFormat="1" ht="30" customHeight="1" spans="1:6">
      <c r="A2806" s="9">
        <v>2803</v>
      </c>
      <c r="B2806" s="10" t="s">
        <v>1230</v>
      </c>
      <c r="C2806" s="10" t="s">
        <v>1231</v>
      </c>
      <c r="D2806" s="10" t="s">
        <v>2767</v>
      </c>
      <c r="E2806" s="10" t="str">
        <f>"644020240518085541186436"</f>
        <v>644020240518085541186436</v>
      </c>
      <c r="F2806" s="9"/>
    </row>
    <row r="2807" s="2" customFormat="1" ht="30" customHeight="1" spans="1:6">
      <c r="A2807" s="9">
        <v>2804</v>
      </c>
      <c r="B2807" s="10" t="s">
        <v>1230</v>
      </c>
      <c r="C2807" s="10" t="s">
        <v>1231</v>
      </c>
      <c r="D2807" s="10" t="s">
        <v>2768</v>
      </c>
      <c r="E2807" s="10" t="str">
        <f>"644020240518083221186404"</f>
        <v>644020240518083221186404</v>
      </c>
      <c r="F2807" s="9"/>
    </row>
    <row r="2808" s="2" customFormat="1" ht="30" customHeight="1" spans="1:6">
      <c r="A2808" s="9">
        <v>2805</v>
      </c>
      <c r="B2808" s="10" t="s">
        <v>1230</v>
      </c>
      <c r="C2808" s="10" t="s">
        <v>1231</v>
      </c>
      <c r="D2808" s="10" t="s">
        <v>1808</v>
      </c>
      <c r="E2808" s="10" t="str">
        <f>"644020240518001636186178"</f>
        <v>644020240518001636186178</v>
      </c>
      <c r="F2808" s="9"/>
    </row>
    <row r="2809" s="2" customFormat="1" ht="30" customHeight="1" spans="1:6">
      <c r="A2809" s="9">
        <v>2806</v>
      </c>
      <c r="B2809" s="10" t="s">
        <v>1230</v>
      </c>
      <c r="C2809" s="10" t="s">
        <v>1231</v>
      </c>
      <c r="D2809" s="10" t="s">
        <v>2769</v>
      </c>
      <c r="E2809" s="10" t="str">
        <f>"644020240518090208186445"</f>
        <v>644020240518090208186445</v>
      </c>
      <c r="F2809" s="9"/>
    </row>
    <row r="2810" s="2" customFormat="1" ht="30" customHeight="1" spans="1:6">
      <c r="A2810" s="9">
        <v>2807</v>
      </c>
      <c r="B2810" s="10" t="s">
        <v>1230</v>
      </c>
      <c r="C2810" s="10" t="s">
        <v>1231</v>
      </c>
      <c r="D2810" s="10" t="s">
        <v>2770</v>
      </c>
      <c r="E2810" s="10" t="str">
        <f>"644020240518090342186451"</f>
        <v>644020240518090342186451</v>
      </c>
      <c r="F2810" s="9"/>
    </row>
    <row r="2811" s="2" customFormat="1" ht="30" customHeight="1" spans="1:6">
      <c r="A2811" s="9">
        <v>2808</v>
      </c>
      <c r="B2811" s="10" t="s">
        <v>1230</v>
      </c>
      <c r="C2811" s="10" t="s">
        <v>1231</v>
      </c>
      <c r="D2811" s="10" t="s">
        <v>2771</v>
      </c>
      <c r="E2811" s="10" t="str">
        <f>"644020240518074825186354"</f>
        <v>644020240518074825186354</v>
      </c>
      <c r="F2811" s="9"/>
    </row>
    <row r="2812" s="2" customFormat="1" ht="30" customHeight="1" spans="1:6">
      <c r="A2812" s="9">
        <v>2809</v>
      </c>
      <c r="B2812" s="10" t="s">
        <v>1230</v>
      </c>
      <c r="C2812" s="10" t="s">
        <v>1231</v>
      </c>
      <c r="D2812" s="10" t="s">
        <v>2772</v>
      </c>
      <c r="E2812" s="10" t="str">
        <f>"644020240518082437186393"</f>
        <v>644020240518082437186393</v>
      </c>
      <c r="F2812" s="9"/>
    </row>
    <row r="2813" s="2" customFormat="1" ht="30" customHeight="1" spans="1:6">
      <c r="A2813" s="9">
        <v>2810</v>
      </c>
      <c r="B2813" s="10" t="s">
        <v>1230</v>
      </c>
      <c r="C2813" s="10" t="s">
        <v>1231</v>
      </c>
      <c r="D2813" s="10" t="s">
        <v>2773</v>
      </c>
      <c r="E2813" s="10" t="str">
        <f>"644020240518080931186372"</f>
        <v>644020240518080931186372</v>
      </c>
      <c r="F2813" s="9"/>
    </row>
    <row r="2814" s="2" customFormat="1" ht="30" customHeight="1" spans="1:6">
      <c r="A2814" s="9">
        <v>2811</v>
      </c>
      <c r="B2814" s="10" t="s">
        <v>1230</v>
      </c>
      <c r="C2814" s="10" t="s">
        <v>1231</v>
      </c>
      <c r="D2814" s="10" t="s">
        <v>2774</v>
      </c>
      <c r="E2814" s="10" t="str">
        <f>"644020240518092418186488"</f>
        <v>644020240518092418186488</v>
      </c>
      <c r="F2814" s="9"/>
    </row>
    <row r="2815" s="2" customFormat="1" ht="30" customHeight="1" spans="1:6">
      <c r="A2815" s="9">
        <v>2812</v>
      </c>
      <c r="B2815" s="10" t="s">
        <v>1230</v>
      </c>
      <c r="C2815" s="10" t="s">
        <v>1231</v>
      </c>
      <c r="D2815" s="10" t="s">
        <v>2775</v>
      </c>
      <c r="E2815" s="10" t="str">
        <f>"644020240518000122186157"</f>
        <v>644020240518000122186157</v>
      </c>
      <c r="F2815" s="9"/>
    </row>
    <row r="2816" s="2" customFormat="1" ht="30" customHeight="1" spans="1:6">
      <c r="A2816" s="9">
        <v>2813</v>
      </c>
      <c r="B2816" s="10" t="s">
        <v>1230</v>
      </c>
      <c r="C2816" s="10" t="s">
        <v>1231</v>
      </c>
      <c r="D2816" s="10" t="s">
        <v>2776</v>
      </c>
      <c r="E2816" s="10" t="str">
        <f>"644020240514160333179409"</f>
        <v>644020240514160333179409</v>
      </c>
      <c r="F2816" s="9"/>
    </row>
    <row r="2817" s="2" customFormat="1" ht="30" customHeight="1" spans="1:6">
      <c r="A2817" s="9">
        <v>2814</v>
      </c>
      <c r="B2817" s="10" t="s">
        <v>1230</v>
      </c>
      <c r="C2817" s="10" t="s">
        <v>1231</v>
      </c>
      <c r="D2817" s="10" t="s">
        <v>2777</v>
      </c>
      <c r="E2817" s="10" t="str">
        <f>"644020240518090019186441"</f>
        <v>644020240518090019186441</v>
      </c>
      <c r="F2817" s="9"/>
    </row>
    <row r="2818" s="2" customFormat="1" ht="30" customHeight="1" spans="1:6">
      <c r="A2818" s="9">
        <v>2815</v>
      </c>
      <c r="B2818" s="10" t="s">
        <v>1230</v>
      </c>
      <c r="C2818" s="10" t="s">
        <v>1231</v>
      </c>
      <c r="D2818" s="10" t="s">
        <v>2778</v>
      </c>
      <c r="E2818" s="10" t="str">
        <f>"644020240517004352184506"</f>
        <v>644020240517004352184506</v>
      </c>
      <c r="F2818" s="9"/>
    </row>
    <row r="2819" s="2" customFormat="1" ht="30" customHeight="1" spans="1:6">
      <c r="A2819" s="9">
        <v>2816</v>
      </c>
      <c r="B2819" s="10" t="s">
        <v>1230</v>
      </c>
      <c r="C2819" s="10" t="s">
        <v>1231</v>
      </c>
      <c r="D2819" s="10" t="s">
        <v>2779</v>
      </c>
      <c r="E2819" s="10" t="str">
        <f>"644020240517234602186133"</f>
        <v>644020240517234602186133</v>
      </c>
      <c r="F2819" s="9"/>
    </row>
    <row r="2820" s="2" customFormat="1" ht="30" customHeight="1" spans="1:6">
      <c r="A2820" s="9">
        <v>2817</v>
      </c>
      <c r="B2820" s="10" t="s">
        <v>1230</v>
      </c>
      <c r="C2820" s="10" t="s">
        <v>1231</v>
      </c>
      <c r="D2820" s="10" t="s">
        <v>2780</v>
      </c>
      <c r="E2820" s="10" t="str">
        <f>"644020240518093004186505"</f>
        <v>644020240518093004186505</v>
      </c>
      <c r="F2820" s="9"/>
    </row>
    <row r="2821" s="2" customFormat="1" ht="30" customHeight="1" spans="1:6">
      <c r="A2821" s="9">
        <v>2818</v>
      </c>
      <c r="B2821" s="10" t="s">
        <v>1230</v>
      </c>
      <c r="C2821" s="10" t="s">
        <v>1231</v>
      </c>
      <c r="D2821" s="10" t="s">
        <v>2561</v>
      </c>
      <c r="E2821" s="10" t="str">
        <f>"644020240517211058185972"</f>
        <v>644020240517211058185972</v>
      </c>
      <c r="F2821" s="9"/>
    </row>
    <row r="2822" s="2" customFormat="1" ht="30" customHeight="1" spans="1:6">
      <c r="A2822" s="9">
        <v>2819</v>
      </c>
      <c r="B2822" s="10" t="s">
        <v>1230</v>
      </c>
      <c r="C2822" s="10" t="s">
        <v>1231</v>
      </c>
      <c r="D2822" s="10" t="s">
        <v>2781</v>
      </c>
      <c r="E2822" s="10" t="str">
        <f>"644020240517092941184743"</f>
        <v>644020240517092941184743</v>
      </c>
      <c r="F2822" s="9"/>
    </row>
    <row r="2823" s="2" customFormat="1" ht="30" customHeight="1" spans="1:6">
      <c r="A2823" s="9">
        <v>2820</v>
      </c>
      <c r="B2823" s="10" t="s">
        <v>1230</v>
      </c>
      <c r="C2823" s="10" t="s">
        <v>1231</v>
      </c>
      <c r="D2823" s="10" t="s">
        <v>2782</v>
      </c>
      <c r="E2823" s="10" t="str">
        <f>"644020240518095003186548"</f>
        <v>644020240518095003186548</v>
      </c>
      <c r="F2823" s="9"/>
    </row>
    <row r="2824" s="2" customFormat="1" ht="30" customHeight="1" spans="1:6">
      <c r="A2824" s="9">
        <v>2821</v>
      </c>
      <c r="B2824" s="10" t="s">
        <v>1230</v>
      </c>
      <c r="C2824" s="10" t="s">
        <v>1231</v>
      </c>
      <c r="D2824" s="10" t="s">
        <v>2783</v>
      </c>
      <c r="E2824" s="10" t="str">
        <f>"644020240518093908186519"</f>
        <v>644020240518093908186519</v>
      </c>
      <c r="F2824" s="9"/>
    </row>
    <row r="2825" s="2" customFormat="1" ht="30" customHeight="1" spans="1:6">
      <c r="A2825" s="9">
        <v>2822</v>
      </c>
      <c r="B2825" s="10" t="s">
        <v>1230</v>
      </c>
      <c r="C2825" s="10" t="s">
        <v>1231</v>
      </c>
      <c r="D2825" s="10" t="s">
        <v>2784</v>
      </c>
      <c r="E2825" s="10" t="str">
        <f>"644020240518091040186465"</f>
        <v>644020240518091040186465</v>
      </c>
      <c r="F2825" s="9"/>
    </row>
    <row r="2826" s="2" customFormat="1" ht="30" customHeight="1" spans="1:6">
      <c r="A2826" s="9">
        <v>2823</v>
      </c>
      <c r="B2826" s="10" t="s">
        <v>1230</v>
      </c>
      <c r="C2826" s="10" t="s">
        <v>1231</v>
      </c>
      <c r="D2826" s="10" t="s">
        <v>2785</v>
      </c>
      <c r="E2826" s="10" t="str">
        <f>"644020240516191809184000"</f>
        <v>644020240516191809184000</v>
      </c>
      <c r="F2826" s="9"/>
    </row>
    <row r="2827" s="2" customFormat="1" ht="30" customHeight="1" spans="1:6">
      <c r="A2827" s="9">
        <v>2824</v>
      </c>
      <c r="B2827" s="10" t="s">
        <v>1230</v>
      </c>
      <c r="C2827" s="10" t="s">
        <v>1231</v>
      </c>
      <c r="D2827" s="10" t="s">
        <v>2786</v>
      </c>
      <c r="E2827" s="10" t="str">
        <f>"644020240518101147186594"</f>
        <v>644020240518101147186594</v>
      </c>
      <c r="F2827" s="9"/>
    </row>
    <row r="2828" s="2" customFormat="1" ht="30" customHeight="1" spans="1:6">
      <c r="A2828" s="9">
        <v>2825</v>
      </c>
      <c r="B2828" s="10" t="s">
        <v>1230</v>
      </c>
      <c r="C2828" s="10" t="s">
        <v>1231</v>
      </c>
      <c r="D2828" s="10" t="s">
        <v>2787</v>
      </c>
      <c r="E2828" s="10" t="str">
        <f>"644020240518100343186581"</f>
        <v>644020240518100343186581</v>
      </c>
      <c r="F2828" s="9"/>
    </row>
    <row r="2829" s="2" customFormat="1" ht="30" customHeight="1" spans="1:6">
      <c r="A2829" s="9">
        <v>2826</v>
      </c>
      <c r="B2829" s="10" t="s">
        <v>1230</v>
      </c>
      <c r="C2829" s="10" t="s">
        <v>1231</v>
      </c>
      <c r="D2829" s="10" t="s">
        <v>2788</v>
      </c>
      <c r="E2829" s="10" t="str">
        <f>"644020240516100942182977"</f>
        <v>644020240516100942182977</v>
      </c>
      <c r="F2829" s="9"/>
    </row>
    <row r="2830" s="2" customFormat="1" ht="30" customHeight="1" spans="1:6">
      <c r="A2830" s="9">
        <v>2827</v>
      </c>
      <c r="B2830" s="10" t="s">
        <v>1230</v>
      </c>
      <c r="C2830" s="10" t="s">
        <v>1231</v>
      </c>
      <c r="D2830" s="10" t="s">
        <v>2789</v>
      </c>
      <c r="E2830" s="10" t="str">
        <f>"644020240518090949186463"</f>
        <v>644020240518090949186463</v>
      </c>
      <c r="F2830" s="9"/>
    </row>
    <row r="2831" s="2" customFormat="1" ht="30" customHeight="1" spans="1:6">
      <c r="A2831" s="9">
        <v>2828</v>
      </c>
      <c r="B2831" s="10" t="s">
        <v>1230</v>
      </c>
      <c r="C2831" s="10" t="s">
        <v>1231</v>
      </c>
      <c r="D2831" s="10" t="s">
        <v>2790</v>
      </c>
      <c r="E2831" s="10" t="str">
        <f>"644020240518092829186500"</f>
        <v>644020240518092829186500</v>
      </c>
      <c r="F2831" s="9"/>
    </row>
    <row r="2832" s="2" customFormat="1" ht="30" customHeight="1" spans="1:6">
      <c r="A2832" s="9">
        <v>2829</v>
      </c>
      <c r="B2832" s="10" t="s">
        <v>1230</v>
      </c>
      <c r="C2832" s="10" t="s">
        <v>1231</v>
      </c>
      <c r="D2832" s="10" t="s">
        <v>2791</v>
      </c>
      <c r="E2832" s="10" t="str">
        <f>"644020240518091351186471"</f>
        <v>644020240518091351186471</v>
      </c>
      <c r="F2832" s="9"/>
    </row>
    <row r="2833" s="2" customFormat="1" ht="30" customHeight="1" spans="1:6">
      <c r="A2833" s="9">
        <v>2830</v>
      </c>
      <c r="B2833" s="10" t="s">
        <v>1230</v>
      </c>
      <c r="C2833" s="10" t="s">
        <v>1231</v>
      </c>
      <c r="D2833" s="10" t="s">
        <v>2792</v>
      </c>
      <c r="E2833" s="10" t="str">
        <f>"644020240517234613186134"</f>
        <v>644020240517234613186134</v>
      </c>
      <c r="F2833" s="9"/>
    </row>
    <row r="2834" s="2" customFormat="1" ht="30" customHeight="1" spans="1:6">
      <c r="A2834" s="9">
        <v>2831</v>
      </c>
      <c r="B2834" s="10" t="s">
        <v>1230</v>
      </c>
      <c r="C2834" s="10" t="s">
        <v>1231</v>
      </c>
      <c r="D2834" s="10" t="s">
        <v>2793</v>
      </c>
      <c r="E2834" s="10" t="str">
        <f>"644020240518092426186489"</f>
        <v>644020240518092426186489</v>
      </c>
      <c r="F2834" s="9"/>
    </row>
    <row r="2835" s="2" customFormat="1" ht="30" customHeight="1" spans="1:6">
      <c r="A2835" s="9">
        <v>2832</v>
      </c>
      <c r="B2835" s="10" t="s">
        <v>1230</v>
      </c>
      <c r="C2835" s="10" t="s">
        <v>1231</v>
      </c>
      <c r="D2835" s="10" t="s">
        <v>2794</v>
      </c>
      <c r="E2835" s="10" t="str">
        <f>"644020240518002648186191"</f>
        <v>644020240518002648186191</v>
      </c>
      <c r="F2835" s="9"/>
    </row>
    <row r="2836" s="2" customFormat="1" ht="30" customHeight="1" spans="1:6">
      <c r="A2836" s="9">
        <v>2833</v>
      </c>
      <c r="B2836" s="10" t="s">
        <v>1230</v>
      </c>
      <c r="C2836" s="10" t="s">
        <v>1231</v>
      </c>
      <c r="D2836" s="10" t="s">
        <v>2795</v>
      </c>
      <c r="E2836" s="10" t="str">
        <f>"644020240518054001186313"</f>
        <v>644020240518054001186313</v>
      </c>
      <c r="F2836" s="9"/>
    </row>
    <row r="2837" s="2" customFormat="1" ht="30" customHeight="1" spans="1:6">
      <c r="A2837" s="9">
        <v>2834</v>
      </c>
      <c r="B2837" s="10" t="s">
        <v>1230</v>
      </c>
      <c r="C2837" s="10" t="s">
        <v>1231</v>
      </c>
      <c r="D2837" s="10" t="s">
        <v>2796</v>
      </c>
      <c r="E2837" s="10" t="str">
        <f>"644020240518102220186628"</f>
        <v>644020240518102220186628</v>
      </c>
      <c r="F2837" s="9"/>
    </row>
    <row r="2838" s="2" customFormat="1" ht="30" customHeight="1" spans="1:6">
      <c r="A2838" s="9">
        <v>2835</v>
      </c>
      <c r="B2838" s="10" t="s">
        <v>1230</v>
      </c>
      <c r="C2838" s="10" t="s">
        <v>1231</v>
      </c>
      <c r="D2838" s="10" t="s">
        <v>2797</v>
      </c>
      <c r="E2838" s="10" t="str">
        <f>"644020240518103753186668"</f>
        <v>644020240518103753186668</v>
      </c>
      <c r="F2838" s="9"/>
    </row>
    <row r="2839" s="2" customFormat="1" ht="30" customHeight="1" spans="1:6">
      <c r="A2839" s="9">
        <v>2836</v>
      </c>
      <c r="B2839" s="10" t="s">
        <v>1230</v>
      </c>
      <c r="C2839" s="10" t="s">
        <v>1231</v>
      </c>
      <c r="D2839" s="10" t="s">
        <v>2798</v>
      </c>
      <c r="E2839" s="10" t="str">
        <f>"644020240517235328186143"</f>
        <v>644020240517235328186143</v>
      </c>
      <c r="F2839" s="9"/>
    </row>
    <row r="2840" s="2" customFormat="1" ht="30" customHeight="1" spans="1:6">
      <c r="A2840" s="9">
        <v>2837</v>
      </c>
      <c r="B2840" s="10" t="s">
        <v>1230</v>
      </c>
      <c r="C2840" s="10" t="s">
        <v>1231</v>
      </c>
      <c r="D2840" s="10" t="s">
        <v>2799</v>
      </c>
      <c r="E2840" s="10" t="str">
        <f>"644020240518083835186417"</f>
        <v>644020240518083835186417</v>
      </c>
      <c r="F2840" s="9"/>
    </row>
    <row r="2841" s="2" customFormat="1" ht="30" customHeight="1" spans="1:6">
      <c r="A2841" s="9">
        <v>2838</v>
      </c>
      <c r="B2841" s="10" t="s">
        <v>1230</v>
      </c>
      <c r="C2841" s="10" t="s">
        <v>1231</v>
      </c>
      <c r="D2841" s="10" t="s">
        <v>2800</v>
      </c>
      <c r="E2841" s="10" t="str">
        <f>"644020240518101456186603"</f>
        <v>644020240518101456186603</v>
      </c>
      <c r="F2841" s="9"/>
    </row>
    <row r="2842" s="2" customFormat="1" ht="30" customHeight="1" spans="1:6">
      <c r="A2842" s="9">
        <v>2839</v>
      </c>
      <c r="B2842" s="10" t="s">
        <v>1230</v>
      </c>
      <c r="C2842" s="10" t="s">
        <v>1231</v>
      </c>
      <c r="D2842" s="10" t="s">
        <v>2801</v>
      </c>
      <c r="E2842" s="10" t="str">
        <f>"644020240518001611186176"</f>
        <v>644020240518001611186176</v>
      </c>
      <c r="F2842" s="9"/>
    </row>
    <row r="2843" s="2" customFormat="1" ht="30" customHeight="1" spans="1:6">
      <c r="A2843" s="9">
        <v>2840</v>
      </c>
      <c r="B2843" s="10" t="s">
        <v>1230</v>
      </c>
      <c r="C2843" s="10" t="s">
        <v>1231</v>
      </c>
      <c r="D2843" s="10" t="s">
        <v>2802</v>
      </c>
      <c r="E2843" s="10" t="str">
        <f>"644020240518094321186531"</f>
        <v>644020240518094321186531</v>
      </c>
      <c r="F2843" s="9"/>
    </row>
    <row r="2844" s="2" customFormat="1" ht="30" customHeight="1" spans="1:6">
      <c r="A2844" s="9">
        <v>2841</v>
      </c>
      <c r="B2844" s="10" t="s">
        <v>1230</v>
      </c>
      <c r="C2844" s="10" t="s">
        <v>1231</v>
      </c>
      <c r="D2844" s="10" t="s">
        <v>2803</v>
      </c>
      <c r="E2844" s="10" t="str">
        <f>"644020240518103513186663"</f>
        <v>644020240518103513186663</v>
      </c>
      <c r="F2844" s="9"/>
    </row>
    <row r="2845" s="2" customFormat="1" ht="30" customHeight="1" spans="1:6">
      <c r="A2845" s="9">
        <v>2842</v>
      </c>
      <c r="B2845" s="10" t="s">
        <v>1230</v>
      </c>
      <c r="C2845" s="10" t="s">
        <v>1231</v>
      </c>
      <c r="D2845" s="10" t="s">
        <v>2804</v>
      </c>
      <c r="E2845" s="10" t="str">
        <f>"644020240518103131186649"</f>
        <v>644020240518103131186649</v>
      </c>
      <c r="F2845" s="9"/>
    </row>
    <row r="2846" s="2" customFormat="1" ht="30" customHeight="1" spans="1:6">
      <c r="A2846" s="9">
        <v>2843</v>
      </c>
      <c r="B2846" s="10" t="s">
        <v>1230</v>
      </c>
      <c r="C2846" s="10" t="s">
        <v>1231</v>
      </c>
      <c r="D2846" s="10" t="s">
        <v>2805</v>
      </c>
      <c r="E2846" s="10" t="str">
        <f>"644020240516171519183802"</f>
        <v>644020240516171519183802</v>
      </c>
      <c r="F2846" s="9"/>
    </row>
    <row r="2847" s="2" customFormat="1" ht="30" customHeight="1" spans="1:6">
      <c r="A2847" s="9">
        <v>2844</v>
      </c>
      <c r="B2847" s="10" t="s">
        <v>1230</v>
      </c>
      <c r="C2847" s="10" t="s">
        <v>1231</v>
      </c>
      <c r="D2847" s="10" t="s">
        <v>2806</v>
      </c>
      <c r="E2847" s="10" t="str">
        <f>"644020240514220540180312"</f>
        <v>644020240514220540180312</v>
      </c>
      <c r="F2847" s="9"/>
    </row>
    <row r="2848" s="2" customFormat="1" ht="30" customHeight="1" spans="1:6">
      <c r="A2848" s="9">
        <v>2845</v>
      </c>
      <c r="B2848" s="10" t="s">
        <v>1230</v>
      </c>
      <c r="C2848" s="10" t="s">
        <v>1231</v>
      </c>
      <c r="D2848" s="10" t="s">
        <v>2807</v>
      </c>
      <c r="E2848" s="10" t="str">
        <f>"644020240515122017181360"</f>
        <v>644020240515122017181360</v>
      </c>
      <c r="F2848" s="9"/>
    </row>
    <row r="2849" s="2" customFormat="1" ht="30" customHeight="1" spans="1:6">
      <c r="A2849" s="9">
        <v>2846</v>
      </c>
      <c r="B2849" s="10" t="s">
        <v>1230</v>
      </c>
      <c r="C2849" s="10" t="s">
        <v>1231</v>
      </c>
      <c r="D2849" s="10" t="s">
        <v>2808</v>
      </c>
      <c r="E2849" s="10" t="str">
        <f>"644020240517215523186042"</f>
        <v>644020240517215523186042</v>
      </c>
      <c r="F2849" s="9"/>
    </row>
    <row r="2850" s="2" customFormat="1" ht="30" customHeight="1" spans="1:6">
      <c r="A2850" s="9">
        <v>2847</v>
      </c>
      <c r="B2850" s="10" t="s">
        <v>1230</v>
      </c>
      <c r="C2850" s="10" t="s">
        <v>1231</v>
      </c>
      <c r="D2850" s="10" t="s">
        <v>2809</v>
      </c>
      <c r="E2850" s="10" t="str">
        <f>"644020240518103843186672"</f>
        <v>644020240518103843186672</v>
      </c>
      <c r="F2850" s="9"/>
    </row>
    <row r="2851" s="2" customFormat="1" ht="30" customHeight="1" spans="1:6">
      <c r="A2851" s="9">
        <v>2848</v>
      </c>
      <c r="B2851" s="10" t="s">
        <v>1230</v>
      </c>
      <c r="C2851" s="10" t="s">
        <v>1231</v>
      </c>
      <c r="D2851" s="10" t="s">
        <v>2810</v>
      </c>
      <c r="E2851" s="10" t="str">
        <f>"644020240517210833185964"</f>
        <v>644020240517210833185964</v>
      </c>
      <c r="F2851" s="9"/>
    </row>
    <row r="2852" s="2" customFormat="1" ht="30" customHeight="1" spans="1:6">
      <c r="A2852" s="9">
        <v>2849</v>
      </c>
      <c r="B2852" s="10" t="s">
        <v>1230</v>
      </c>
      <c r="C2852" s="10" t="s">
        <v>1231</v>
      </c>
      <c r="D2852" s="10" t="s">
        <v>2214</v>
      </c>
      <c r="E2852" s="10" t="str">
        <f>"644020240518102934186644"</f>
        <v>644020240518102934186644</v>
      </c>
      <c r="F2852" s="9"/>
    </row>
    <row r="2853" s="2" customFormat="1" ht="30" customHeight="1" spans="1:6">
      <c r="A2853" s="9">
        <v>2850</v>
      </c>
      <c r="B2853" s="10" t="s">
        <v>1230</v>
      </c>
      <c r="C2853" s="10" t="s">
        <v>1231</v>
      </c>
      <c r="D2853" s="10" t="s">
        <v>2811</v>
      </c>
      <c r="E2853" s="10" t="str">
        <f>"644020240517182445185826"</f>
        <v>644020240517182445185826</v>
      </c>
      <c r="F2853" s="9"/>
    </row>
    <row r="2854" s="2" customFormat="1" ht="30" customHeight="1" spans="1:6">
      <c r="A2854" s="9">
        <v>2851</v>
      </c>
      <c r="B2854" s="10" t="s">
        <v>1230</v>
      </c>
      <c r="C2854" s="10" t="s">
        <v>1231</v>
      </c>
      <c r="D2854" s="10" t="s">
        <v>2812</v>
      </c>
      <c r="E2854" s="10" t="str">
        <f>"644020240518111417186732"</f>
        <v>644020240518111417186732</v>
      </c>
      <c r="F2854" s="9"/>
    </row>
    <row r="2855" s="2" customFormat="1" ht="30" customHeight="1" spans="1:6">
      <c r="A2855" s="9">
        <v>2852</v>
      </c>
      <c r="B2855" s="10" t="s">
        <v>1230</v>
      </c>
      <c r="C2855" s="10" t="s">
        <v>1231</v>
      </c>
      <c r="D2855" s="10" t="s">
        <v>2813</v>
      </c>
      <c r="E2855" s="10" t="str">
        <f>"644020240518080056186364"</f>
        <v>644020240518080056186364</v>
      </c>
      <c r="F2855" s="9"/>
    </row>
    <row r="2856" s="2" customFormat="1" ht="30" customHeight="1" spans="1:6">
      <c r="A2856" s="9">
        <v>2853</v>
      </c>
      <c r="B2856" s="10" t="s">
        <v>1230</v>
      </c>
      <c r="C2856" s="10" t="s">
        <v>1231</v>
      </c>
      <c r="D2856" s="10" t="s">
        <v>2814</v>
      </c>
      <c r="E2856" s="10" t="str">
        <f>"644020240518095249186559"</f>
        <v>644020240518095249186559</v>
      </c>
      <c r="F2856" s="9"/>
    </row>
    <row r="2857" s="2" customFormat="1" ht="30" customHeight="1" spans="1:6">
      <c r="A2857" s="9">
        <v>2854</v>
      </c>
      <c r="B2857" s="10" t="s">
        <v>1230</v>
      </c>
      <c r="C2857" s="10" t="s">
        <v>1231</v>
      </c>
      <c r="D2857" s="10" t="s">
        <v>2815</v>
      </c>
      <c r="E2857" s="10" t="str">
        <f>"644020240518084245186422"</f>
        <v>644020240518084245186422</v>
      </c>
      <c r="F2857" s="9"/>
    </row>
    <row r="2858" s="2" customFormat="1" ht="30" customHeight="1" spans="1:6">
      <c r="A2858" s="9">
        <v>2855</v>
      </c>
      <c r="B2858" s="10" t="s">
        <v>1230</v>
      </c>
      <c r="C2858" s="10" t="s">
        <v>1231</v>
      </c>
      <c r="D2858" s="10" t="s">
        <v>2816</v>
      </c>
      <c r="E2858" s="10" t="str">
        <f>"644020240518104833186696"</f>
        <v>644020240518104833186696</v>
      </c>
      <c r="F2858" s="9"/>
    </row>
    <row r="2859" s="2" customFormat="1" ht="30" customHeight="1" spans="1:6">
      <c r="A2859" s="9">
        <v>2856</v>
      </c>
      <c r="B2859" s="10" t="s">
        <v>1230</v>
      </c>
      <c r="C2859" s="10" t="s">
        <v>1231</v>
      </c>
      <c r="D2859" s="10" t="s">
        <v>2817</v>
      </c>
      <c r="E2859" s="10" t="str">
        <f>"644020240518104217186681"</f>
        <v>644020240518104217186681</v>
      </c>
      <c r="F2859" s="9"/>
    </row>
    <row r="2860" s="2" customFormat="1" ht="30" customHeight="1" spans="1:6">
      <c r="A2860" s="9">
        <v>2857</v>
      </c>
      <c r="B2860" s="10" t="s">
        <v>1230</v>
      </c>
      <c r="C2860" s="10" t="s">
        <v>1231</v>
      </c>
      <c r="D2860" s="10" t="s">
        <v>2818</v>
      </c>
      <c r="E2860" s="10" t="str">
        <f>"644020240518113259186768"</f>
        <v>644020240518113259186768</v>
      </c>
      <c r="F2860" s="9"/>
    </row>
    <row r="2861" s="2" customFormat="1" ht="30" customHeight="1" spans="1:6">
      <c r="A2861" s="9">
        <v>2858</v>
      </c>
      <c r="B2861" s="10" t="s">
        <v>1230</v>
      </c>
      <c r="C2861" s="10" t="s">
        <v>1231</v>
      </c>
      <c r="D2861" s="10" t="s">
        <v>2819</v>
      </c>
      <c r="E2861" s="10" t="str">
        <f>"644020240518111946186744"</f>
        <v>644020240518111946186744</v>
      </c>
      <c r="F2861" s="9"/>
    </row>
    <row r="2862" s="2" customFormat="1" ht="30" customHeight="1" spans="1:6">
      <c r="A2862" s="9">
        <v>2859</v>
      </c>
      <c r="B2862" s="10" t="s">
        <v>1230</v>
      </c>
      <c r="C2862" s="10" t="s">
        <v>1231</v>
      </c>
      <c r="D2862" s="10" t="s">
        <v>2820</v>
      </c>
      <c r="E2862" s="10" t="str">
        <f>"644020240518112153186748"</f>
        <v>644020240518112153186748</v>
      </c>
      <c r="F2862" s="9"/>
    </row>
    <row r="2863" s="2" customFormat="1" ht="30" customHeight="1" spans="1:6">
      <c r="A2863" s="9">
        <v>2860</v>
      </c>
      <c r="B2863" s="10" t="s">
        <v>1230</v>
      </c>
      <c r="C2863" s="10" t="s">
        <v>1231</v>
      </c>
      <c r="D2863" s="10" t="s">
        <v>2821</v>
      </c>
      <c r="E2863" s="10" t="str">
        <f>"644020240518113605186771"</f>
        <v>644020240518113605186771</v>
      </c>
      <c r="F2863" s="9"/>
    </row>
    <row r="2864" s="2" customFormat="1" ht="30" customHeight="1" spans="1:6">
      <c r="A2864" s="9">
        <v>2861</v>
      </c>
      <c r="B2864" s="10" t="s">
        <v>1230</v>
      </c>
      <c r="C2864" s="10" t="s">
        <v>1231</v>
      </c>
      <c r="D2864" s="10" t="s">
        <v>2822</v>
      </c>
      <c r="E2864" s="10" t="str">
        <f>"644020240518101517186605"</f>
        <v>644020240518101517186605</v>
      </c>
      <c r="F2864" s="9"/>
    </row>
    <row r="2865" s="2" customFormat="1" ht="30" customHeight="1" spans="1:6">
      <c r="A2865" s="9">
        <v>2862</v>
      </c>
      <c r="B2865" s="10" t="s">
        <v>1230</v>
      </c>
      <c r="C2865" s="10" t="s">
        <v>1231</v>
      </c>
      <c r="D2865" s="10" t="s">
        <v>2823</v>
      </c>
      <c r="E2865" s="10" t="str">
        <f>"644020240518111856186742"</f>
        <v>644020240518111856186742</v>
      </c>
      <c r="F2865" s="9"/>
    </row>
    <row r="2866" s="2" customFormat="1" ht="30" customHeight="1" spans="1:6">
      <c r="A2866" s="9">
        <v>2863</v>
      </c>
      <c r="B2866" s="10" t="s">
        <v>1230</v>
      </c>
      <c r="C2866" s="10" t="s">
        <v>1231</v>
      </c>
      <c r="D2866" s="10" t="s">
        <v>2824</v>
      </c>
      <c r="E2866" s="10" t="str">
        <f>"644020240518095050186554"</f>
        <v>644020240518095050186554</v>
      </c>
      <c r="F2866" s="9"/>
    </row>
    <row r="2867" s="2" customFormat="1" ht="30" customHeight="1" spans="1:6">
      <c r="A2867" s="9">
        <v>2864</v>
      </c>
      <c r="B2867" s="10" t="s">
        <v>2825</v>
      </c>
      <c r="C2867" s="10" t="s">
        <v>2826</v>
      </c>
      <c r="D2867" s="10" t="s">
        <v>2827</v>
      </c>
      <c r="E2867" s="10" t="str">
        <f>"644020240512090650168122"</f>
        <v>644020240512090650168122</v>
      </c>
      <c r="F2867" s="9"/>
    </row>
    <row r="2868" s="2" customFormat="1" ht="30" customHeight="1" spans="1:6">
      <c r="A2868" s="9">
        <v>2865</v>
      </c>
      <c r="B2868" s="10" t="s">
        <v>2825</v>
      </c>
      <c r="C2868" s="10" t="s">
        <v>2826</v>
      </c>
      <c r="D2868" s="10" t="s">
        <v>2828</v>
      </c>
      <c r="E2868" s="10" t="str">
        <f>"644020240512093529168268"</f>
        <v>644020240512093529168268</v>
      </c>
      <c r="F2868" s="9"/>
    </row>
    <row r="2869" s="2" customFormat="1" ht="30" customHeight="1" spans="1:6">
      <c r="A2869" s="9">
        <v>2866</v>
      </c>
      <c r="B2869" s="10" t="s">
        <v>2825</v>
      </c>
      <c r="C2869" s="10" t="s">
        <v>2826</v>
      </c>
      <c r="D2869" s="10" t="s">
        <v>2829</v>
      </c>
      <c r="E2869" s="10" t="str">
        <f>"644020240512104050168628"</f>
        <v>644020240512104050168628</v>
      </c>
      <c r="F2869" s="9"/>
    </row>
    <row r="2870" s="2" customFormat="1" ht="30" customHeight="1" spans="1:6">
      <c r="A2870" s="9">
        <v>2867</v>
      </c>
      <c r="B2870" s="10" t="s">
        <v>2825</v>
      </c>
      <c r="C2870" s="10" t="s">
        <v>2826</v>
      </c>
      <c r="D2870" s="10" t="s">
        <v>2830</v>
      </c>
      <c r="E2870" s="10" t="str">
        <f>"644020240512104152168632"</f>
        <v>644020240512104152168632</v>
      </c>
      <c r="F2870" s="9"/>
    </row>
    <row r="2871" s="2" customFormat="1" ht="30" customHeight="1" spans="1:6">
      <c r="A2871" s="9">
        <v>2868</v>
      </c>
      <c r="B2871" s="10" t="s">
        <v>2825</v>
      </c>
      <c r="C2871" s="10" t="s">
        <v>2826</v>
      </c>
      <c r="D2871" s="10" t="s">
        <v>2831</v>
      </c>
      <c r="E2871" s="10" t="str">
        <f>"644020240512094639168307"</f>
        <v>644020240512094639168307</v>
      </c>
      <c r="F2871" s="9"/>
    </row>
    <row r="2872" s="2" customFormat="1" ht="30" customHeight="1" spans="1:6">
      <c r="A2872" s="9">
        <v>2869</v>
      </c>
      <c r="B2872" s="10" t="s">
        <v>2825</v>
      </c>
      <c r="C2872" s="10" t="s">
        <v>2826</v>
      </c>
      <c r="D2872" s="10" t="s">
        <v>2832</v>
      </c>
      <c r="E2872" s="10" t="str">
        <f>"644020240512112149168846"</f>
        <v>644020240512112149168846</v>
      </c>
      <c r="F2872" s="9"/>
    </row>
    <row r="2873" s="2" customFormat="1" ht="30" customHeight="1" spans="1:6">
      <c r="A2873" s="9">
        <v>2870</v>
      </c>
      <c r="B2873" s="10" t="s">
        <v>2825</v>
      </c>
      <c r="C2873" s="10" t="s">
        <v>2826</v>
      </c>
      <c r="D2873" s="10" t="s">
        <v>2833</v>
      </c>
      <c r="E2873" s="10" t="str">
        <f>"644020240512111644168810"</f>
        <v>644020240512111644168810</v>
      </c>
      <c r="F2873" s="9"/>
    </row>
    <row r="2874" s="2" customFormat="1" ht="30" customHeight="1" spans="1:6">
      <c r="A2874" s="9">
        <v>2871</v>
      </c>
      <c r="B2874" s="10" t="s">
        <v>2825</v>
      </c>
      <c r="C2874" s="10" t="s">
        <v>2826</v>
      </c>
      <c r="D2874" s="10" t="s">
        <v>2834</v>
      </c>
      <c r="E2874" s="10" t="str">
        <f>"644020240512101934168502"</f>
        <v>644020240512101934168502</v>
      </c>
      <c r="F2874" s="9"/>
    </row>
    <row r="2875" s="2" customFormat="1" ht="30" customHeight="1" spans="1:6">
      <c r="A2875" s="9">
        <v>2872</v>
      </c>
      <c r="B2875" s="10" t="s">
        <v>2825</v>
      </c>
      <c r="C2875" s="10" t="s">
        <v>2826</v>
      </c>
      <c r="D2875" s="10" t="s">
        <v>1742</v>
      </c>
      <c r="E2875" s="10" t="str">
        <f>"644020240512114735168968"</f>
        <v>644020240512114735168968</v>
      </c>
      <c r="F2875" s="9"/>
    </row>
    <row r="2876" s="2" customFormat="1" ht="30" customHeight="1" spans="1:6">
      <c r="A2876" s="9">
        <v>2873</v>
      </c>
      <c r="B2876" s="10" t="s">
        <v>2825</v>
      </c>
      <c r="C2876" s="10" t="s">
        <v>2826</v>
      </c>
      <c r="D2876" s="10" t="s">
        <v>2835</v>
      </c>
      <c r="E2876" s="10" t="str">
        <f>"644020240512090702168125"</f>
        <v>644020240512090702168125</v>
      </c>
      <c r="F2876" s="9"/>
    </row>
    <row r="2877" s="2" customFormat="1" ht="30" customHeight="1" spans="1:6">
      <c r="A2877" s="9">
        <v>2874</v>
      </c>
      <c r="B2877" s="10" t="s">
        <v>2825</v>
      </c>
      <c r="C2877" s="10" t="s">
        <v>2826</v>
      </c>
      <c r="D2877" s="10" t="s">
        <v>2836</v>
      </c>
      <c r="E2877" s="10" t="str">
        <f>"644020240512111604168802"</f>
        <v>644020240512111604168802</v>
      </c>
      <c r="F2877" s="9"/>
    </row>
    <row r="2878" s="2" customFormat="1" ht="30" customHeight="1" spans="1:6">
      <c r="A2878" s="9">
        <v>2875</v>
      </c>
      <c r="B2878" s="10" t="s">
        <v>2825</v>
      </c>
      <c r="C2878" s="10" t="s">
        <v>2826</v>
      </c>
      <c r="D2878" s="10" t="s">
        <v>2837</v>
      </c>
      <c r="E2878" s="10" t="str">
        <f>"644020240512114431168954"</f>
        <v>644020240512114431168954</v>
      </c>
      <c r="F2878" s="9"/>
    </row>
    <row r="2879" s="2" customFormat="1" ht="30" customHeight="1" spans="1:6">
      <c r="A2879" s="9">
        <v>2876</v>
      </c>
      <c r="B2879" s="10" t="s">
        <v>2825</v>
      </c>
      <c r="C2879" s="10" t="s">
        <v>2826</v>
      </c>
      <c r="D2879" s="10" t="s">
        <v>2838</v>
      </c>
      <c r="E2879" s="10" t="str">
        <f>"644020240512120508169036"</f>
        <v>644020240512120508169036</v>
      </c>
      <c r="F2879" s="9"/>
    </row>
    <row r="2880" s="2" customFormat="1" ht="30" customHeight="1" spans="1:6">
      <c r="A2880" s="9">
        <v>2877</v>
      </c>
      <c r="B2880" s="10" t="s">
        <v>2825</v>
      </c>
      <c r="C2880" s="10" t="s">
        <v>2826</v>
      </c>
      <c r="D2880" s="10" t="s">
        <v>2839</v>
      </c>
      <c r="E2880" s="10" t="str">
        <f>"644020240512124654169197"</f>
        <v>644020240512124654169197</v>
      </c>
      <c r="F2880" s="9"/>
    </row>
    <row r="2881" s="2" customFormat="1" ht="30" customHeight="1" spans="1:6">
      <c r="A2881" s="9">
        <v>2878</v>
      </c>
      <c r="B2881" s="10" t="s">
        <v>2825</v>
      </c>
      <c r="C2881" s="10" t="s">
        <v>2826</v>
      </c>
      <c r="D2881" s="10" t="s">
        <v>2840</v>
      </c>
      <c r="E2881" s="10" t="str">
        <f>"644020240512123943169166"</f>
        <v>644020240512123943169166</v>
      </c>
      <c r="F2881" s="9"/>
    </row>
    <row r="2882" s="2" customFormat="1" ht="30" customHeight="1" spans="1:6">
      <c r="A2882" s="9">
        <v>2879</v>
      </c>
      <c r="B2882" s="10" t="s">
        <v>2825</v>
      </c>
      <c r="C2882" s="10" t="s">
        <v>2826</v>
      </c>
      <c r="D2882" s="10" t="s">
        <v>769</v>
      </c>
      <c r="E2882" s="10" t="str">
        <f>"644020240512121426169066"</f>
        <v>644020240512121426169066</v>
      </c>
      <c r="F2882" s="9"/>
    </row>
    <row r="2883" s="2" customFormat="1" ht="30" customHeight="1" spans="1:6">
      <c r="A2883" s="9">
        <v>2880</v>
      </c>
      <c r="B2883" s="10" t="s">
        <v>2825</v>
      </c>
      <c r="C2883" s="10" t="s">
        <v>2826</v>
      </c>
      <c r="D2883" s="10" t="s">
        <v>2841</v>
      </c>
      <c r="E2883" s="10" t="str">
        <f>"644020240512104116168631"</f>
        <v>644020240512104116168631</v>
      </c>
      <c r="F2883" s="9"/>
    </row>
    <row r="2884" s="2" customFormat="1" ht="30" customHeight="1" spans="1:6">
      <c r="A2884" s="9">
        <v>2881</v>
      </c>
      <c r="B2884" s="10" t="s">
        <v>2825</v>
      </c>
      <c r="C2884" s="10" t="s">
        <v>2826</v>
      </c>
      <c r="D2884" s="10" t="s">
        <v>2842</v>
      </c>
      <c r="E2884" s="10" t="str">
        <f>"644020240512131100169284"</f>
        <v>644020240512131100169284</v>
      </c>
      <c r="F2884" s="9"/>
    </row>
    <row r="2885" s="2" customFormat="1" ht="30" customHeight="1" spans="1:6">
      <c r="A2885" s="9">
        <v>2882</v>
      </c>
      <c r="B2885" s="10" t="s">
        <v>2825</v>
      </c>
      <c r="C2885" s="10" t="s">
        <v>2826</v>
      </c>
      <c r="D2885" s="10" t="s">
        <v>2843</v>
      </c>
      <c r="E2885" s="10" t="str">
        <f>"644020240512130850169272"</f>
        <v>644020240512130850169272</v>
      </c>
      <c r="F2885" s="9"/>
    </row>
    <row r="2886" s="2" customFormat="1" ht="30" customHeight="1" spans="1:6">
      <c r="A2886" s="9">
        <v>2883</v>
      </c>
      <c r="B2886" s="10" t="s">
        <v>2825</v>
      </c>
      <c r="C2886" s="10" t="s">
        <v>2826</v>
      </c>
      <c r="D2886" s="10" t="s">
        <v>2844</v>
      </c>
      <c r="E2886" s="10" t="str">
        <f>"644020240512132736169351"</f>
        <v>644020240512132736169351</v>
      </c>
      <c r="F2886" s="9"/>
    </row>
    <row r="2887" s="2" customFormat="1" ht="30" customHeight="1" spans="1:6">
      <c r="A2887" s="9">
        <v>2884</v>
      </c>
      <c r="B2887" s="10" t="s">
        <v>2825</v>
      </c>
      <c r="C2887" s="10" t="s">
        <v>2826</v>
      </c>
      <c r="D2887" s="10" t="s">
        <v>2845</v>
      </c>
      <c r="E2887" s="10" t="str">
        <f>"644020240512111212168782"</f>
        <v>644020240512111212168782</v>
      </c>
      <c r="F2887" s="9"/>
    </row>
    <row r="2888" s="2" customFormat="1" ht="30" customHeight="1" spans="1:6">
      <c r="A2888" s="9">
        <v>2885</v>
      </c>
      <c r="B2888" s="10" t="s">
        <v>2825</v>
      </c>
      <c r="C2888" s="10" t="s">
        <v>2826</v>
      </c>
      <c r="D2888" s="10" t="s">
        <v>2846</v>
      </c>
      <c r="E2888" s="10" t="str">
        <f>"644020240512134945169431"</f>
        <v>644020240512134945169431</v>
      </c>
      <c r="F2888" s="9"/>
    </row>
    <row r="2889" s="2" customFormat="1" ht="30" customHeight="1" spans="1:6">
      <c r="A2889" s="9">
        <v>2886</v>
      </c>
      <c r="B2889" s="10" t="s">
        <v>2825</v>
      </c>
      <c r="C2889" s="10" t="s">
        <v>2826</v>
      </c>
      <c r="D2889" s="10" t="s">
        <v>2847</v>
      </c>
      <c r="E2889" s="10" t="str">
        <f>"644020240512131112169285"</f>
        <v>644020240512131112169285</v>
      </c>
      <c r="F2889" s="9"/>
    </row>
    <row r="2890" s="2" customFormat="1" ht="30" customHeight="1" spans="1:6">
      <c r="A2890" s="9">
        <v>2887</v>
      </c>
      <c r="B2890" s="10" t="s">
        <v>2825</v>
      </c>
      <c r="C2890" s="10" t="s">
        <v>2826</v>
      </c>
      <c r="D2890" s="10" t="s">
        <v>2848</v>
      </c>
      <c r="E2890" s="10" t="str">
        <f>"644020240512130024169236"</f>
        <v>644020240512130024169236</v>
      </c>
      <c r="F2890" s="9"/>
    </row>
    <row r="2891" s="2" customFormat="1" ht="30" customHeight="1" spans="1:6">
      <c r="A2891" s="9">
        <v>2888</v>
      </c>
      <c r="B2891" s="10" t="s">
        <v>2825</v>
      </c>
      <c r="C2891" s="10" t="s">
        <v>2826</v>
      </c>
      <c r="D2891" s="10" t="s">
        <v>2849</v>
      </c>
      <c r="E2891" s="10" t="str">
        <f>"644020240512092355168214"</f>
        <v>644020240512092355168214</v>
      </c>
      <c r="F2891" s="9"/>
    </row>
    <row r="2892" s="2" customFormat="1" ht="30" customHeight="1" spans="1:6">
      <c r="A2892" s="9">
        <v>2889</v>
      </c>
      <c r="B2892" s="10" t="s">
        <v>2825</v>
      </c>
      <c r="C2892" s="10" t="s">
        <v>2826</v>
      </c>
      <c r="D2892" s="10" t="s">
        <v>2850</v>
      </c>
      <c r="E2892" s="10" t="str">
        <f>"644020240512115728169000"</f>
        <v>644020240512115728169000</v>
      </c>
      <c r="F2892" s="9"/>
    </row>
    <row r="2893" s="2" customFormat="1" ht="30" customHeight="1" spans="1:6">
      <c r="A2893" s="9">
        <v>2890</v>
      </c>
      <c r="B2893" s="10" t="s">
        <v>2825</v>
      </c>
      <c r="C2893" s="10" t="s">
        <v>2826</v>
      </c>
      <c r="D2893" s="10" t="s">
        <v>2851</v>
      </c>
      <c r="E2893" s="10" t="str">
        <f>"644020240512142154169531"</f>
        <v>644020240512142154169531</v>
      </c>
      <c r="F2893" s="9"/>
    </row>
    <row r="2894" s="2" customFormat="1" ht="30" customHeight="1" spans="1:6">
      <c r="A2894" s="9">
        <v>2891</v>
      </c>
      <c r="B2894" s="10" t="s">
        <v>2825</v>
      </c>
      <c r="C2894" s="10" t="s">
        <v>2826</v>
      </c>
      <c r="D2894" s="10" t="s">
        <v>2852</v>
      </c>
      <c r="E2894" s="10" t="str">
        <f>"644020240512133650169390"</f>
        <v>644020240512133650169390</v>
      </c>
      <c r="F2894" s="9"/>
    </row>
    <row r="2895" s="2" customFormat="1" ht="30" customHeight="1" spans="1:6">
      <c r="A2895" s="9">
        <v>2892</v>
      </c>
      <c r="B2895" s="10" t="s">
        <v>2825</v>
      </c>
      <c r="C2895" s="10" t="s">
        <v>2826</v>
      </c>
      <c r="D2895" s="10" t="s">
        <v>2853</v>
      </c>
      <c r="E2895" s="10" t="str">
        <f>"644020240512145104169618"</f>
        <v>644020240512145104169618</v>
      </c>
      <c r="F2895" s="9"/>
    </row>
    <row r="2896" s="2" customFormat="1" ht="30" customHeight="1" spans="1:6">
      <c r="A2896" s="9">
        <v>2893</v>
      </c>
      <c r="B2896" s="10" t="s">
        <v>2825</v>
      </c>
      <c r="C2896" s="10" t="s">
        <v>2826</v>
      </c>
      <c r="D2896" s="10" t="s">
        <v>2854</v>
      </c>
      <c r="E2896" s="10" t="str">
        <f>"644020240512121514169069"</f>
        <v>644020240512121514169069</v>
      </c>
      <c r="F2896" s="9"/>
    </row>
    <row r="2897" s="2" customFormat="1" ht="30" customHeight="1" spans="1:6">
      <c r="A2897" s="9">
        <v>2894</v>
      </c>
      <c r="B2897" s="10" t="s">
        <v>2825</v>
      </c>
      <c r="C2897" s="10" t="s">
        <v>2826</v>
      </c>
      <c r="D2897" s="10" t="s">
        <v>2855</v>
      </c>
      <c r="E2897" s="10" t="str">
        <f>"644020240512154312169808"</f>
        <v>644020240512154312169808</v>
      </c>
      <c r="F2897" s="9"/>
    </row>
    <row r="2898" s="2" customFormat="1" ht="30" customHeight="1" spans="1:6">
      <c r="A2898" s="9">
        <v>2895</v>
      </c>
      <c r="B2898" s="10" t="s">
        <v>2825</v>
      </c>
      <c r="C2898" s="10" t="s">
        <v>2826</v>
      </c>
      <c r="D2898" s="10" t="s">
        <v>2856</v>
      </c>
      <c r="E2898" s="10" t="str">
        <f>"644020240512113851168931"</f>
        <v>644020240512113851168931</v>
      </c>
      <c r="F2898" s="9"/>
    </row>
    <row r="2899" s="2" customFormat="1" ht="30" customHeight="1" spans="1:6">
      <c r="A2899" s="9">
        <v>2896</v>
      </c>
      <c r="B2899" s="10" t="s">
        <v>2825</v>
      </c>
      <c r="C2899" s="10" t="s">
        <v>2826</v>
      </c>
      <c r="D2899" s="10" t="s">
        <v>2857</v>
      </c>
      <c r="E2899" s="10" t="str">
        <f>"644020240512160322169891"</f>
        <v>644020240512160322169891</v>
      </c>
      <c r="F2899" s="9"/>
    </row>
    <row r="2900" s="2" customFormat="1" ht="30" customHeight="1" spans="1:6">
      <c r="A2900" s="9">
        <v>2897</v>
      </c>
      <c r="B2900" s="10" t="s">
        <v>2825</v>
      </c>
      <c r="C2900" s="10" t="s">
        <v>2826</v>
      </c>
      <c r="D2900" s="10" t="s">
        <v>2858</v>
      </c>
      <c r="E2900" s="10" t="str">
        <f>"644020240512170323170121"</f>
        <v>644020240512170323170121</v>
      </c>
      <c r="F2900" s="9"/>
    </row>
    <row r="2901" s="2" customFormat="1" ht="30" customHeight="1" spans="1:6">
      <c r="A2901" s="9">
        <v>2898</v>
      </c>
      <c r="B2901" s="10" t="s">
        <v>2825</v>
      </c>
      <c r="C2901" s="10" t="s">
        <v>2826</v>
      </c>
      <c r="D2901" s="10" t="s">
        <v>2859</v>
      </c>
      <c r="E2901" s="10" t="str">
        <f>"644020240512165652170096"</f>
        <v>644020240512165652170096</v>
      </c>
      <c r="F2901" s="9"/>
    </row>
    <row r="2902" s="2" customFormat="1" ht="30" customHeight="1" spans="1:6">
      <c r="A2902" s="9">
        <v>2899</v>
      </c>
      <c r="B2902" s="10" t="s">
        <v>2825</v>
      </c>
      <c r="C2902" s="10" t="s">
        <v>2826</v>
      </c>
      <c r="D2902" s="10" t="s">
        <v>2860</v>
      </c>
      <c r="E2902" s="10" t="str">
        <f>"644020240512153714169790"</f>
        <v>644020240512153714169790</v>
      </c>
      <c r="F2902" s="9"/>
    </row>
    <row r="2903" s="2" customFormat="1" ht="30" customHeight="1" spans="1:6">
      <c r="A2903" s="9">
        <v>2900</v>
      </c>
      <c r="B2903" s="10" t="s">
        <v>2825</v>
      </c>
      <c r="C2903" s="10" t="s">
        <v>2826</v>
      </c>
      <c r="D2903" s="10" t="s">
        <v>2861</v>
      </c>
      <c r="E2903" s="10" t="str">
        <f>"644020240512155612169865"</f>
        <v>644020240512155612169865</v>
      </c>
      <c r="F2903" s="9"/>
    </row>
    <row r="2904" s="2" customFormat="1" ht="30" customHeight="1" spans="1:6">
      <c r="A2904" s="9">
        <v>2901</v>
      </c>
      <c r="B2904" s="10" t="s">
        <v>2825</v>
      </c>
      <c r="C2904" s="10" t="s">
        <v>2826</v>
      </c>
      <c r="D2904" s="10" t="s">
        <v>2862</v>
      </c>
      <c r="E2904" s="10" t="str">
        <f>"644020240512163949170040"</f>
        <v>644020240512163949170040</v>
      </c>
      <c r="F2904" s="9"/>
    </row>
    <row r="2905" s="2" customFormat="1" ht="30" customHeight="1" spans="1:6">
      <c r="A2905" s="9">
        <v>2902</v>
      </c>
      <c r="B2905" s="10" t="s">
        <v>2825</v>
      </c>
      <c r="C2905" s="10" t="s">
        <v>2826</v>
      </c>
      <c r="D2905" s="10" t="s">
        <v>2863</v>
      </c>
      <c r="E2905" s="10" t="str">
        <f>"644020240512164009170042"</f>
        <v>644020240512164009170042</v>
      </c>
      <c r="F2905" s="9"/>
    </row>
    <row r="2906" s="2" customFormat="1" ht="30" customHeight="1" spans="1:6">
      <c r="A2906" s="9">
        <v>2903</v>
      </c>
      <c r="B2906" s="10" t="s">
        <v>2825</v>
      </c>
      <c r="C2906" s="10" t="s">
        <v>2826</v>
      </c>
      <c r="D2906" s="10" t="s">
        <v>2864</v>
      </c>
      <c r="E2906" s="10" t="str">
        <f>"644020240512155343169855"</f>
        <v>644020240512155343169855</v>
      </c>
      <c r="F2906" s="9"/>
    </row>
    <row r="2907" s="2" customFormat="1" ht="30" customHeight="1" spans="1:6">
      <c r="A2907" s="9">
        <v>2904</v>
      </c>
      <c r="B2907" s="10" t="s">
        <v>2825</v>
      </c>
      <c r="C2907" s="10" t="s">
        <v>2826</v>
      </c>
      <c r="D2907" s="10" t="s">
        <v>2865</v>
      </c>
      <c r="E2907" s="10" t="str">
        <f>"644020240512181644170350"</f>
        <v>644020240512181644170350</v>
      </c>
      <c r="F2907" s="9"/>
    </row>
    <row r="2908" s="2" customFormat="1" ht="30" customHeight="1" spans="1:6">
      <c r="A2908" s="9">
        <v>2905</v>
      </c>
      <c r="B2908" s="10" t="s">
        <v>2825</v>
      </c>
      <c r="C2908" s="10" t="s">
        <v>2826</v>
      </c>
      <c r="D2908" s="10" t="s">
        <v>2866</v>
      </c>
      <c r="E2908" s="10" t="str">
        <f>"644020240512180657170332"</f>
        <v>644020240512180657170332</v>
      </c>
      <c r="F2908" s="9"/>
    </row>
    <row r="2909" s="2" customFormat="1" ht="30" customHeight="1" spans="1:6">
      <c r="A2909" s="9">
        <v>2906</v>
      </c>
      <c r="B2909" s="10" t="s">
        <v>2825</v>
      </c>
      <c r="C2909" s="10" t="s">
        <v>2826</v>
      </c>
      <c r="D2909" s="10" t="s">
        <v>2867</v>
      </c>
      <c r="E2909" s="10" t="str">
        <f>"644020240512181917170355"</f>
        <v>644020240512181917170355</v>
      </c>
      <c r="F2909" s="9"/>
    </row>
    <row r="2910" s="2" customFormat="1" ht="30" customHeight="1" spans="1:6">
      <c r="A2910" s="9">
        <v>2907</v>
      </c>
      <c r="B2910" s="10" t="s">
        <v>2825</v>
      </c>
      <c r="C2910" s="10" t="s">
        <v>2826</v>
      </c>
      <c r="D2910" s="10" t="s">
        <v>2868</v>
      </c>
      <c r="E2910" s="10" t="str">
        <f>"644020240512091704168181"</f>
        <v>644020240512091704168181</v>
      </c>
      <c r="F2910" s="9"/>
    </row>
    <row r="2911" s="2" customFormat="1" ht="30" customHeight="1" spans="1:6">
      <c r="A2911" s="9">
        <v>2908</v>
      </c>
      <c r="B2911" s="10" t="s">
        <v>2825</v>
      </c>
      <c r="C2911" s="10" t="s">
        <v>2826</v>
      </c>
      <c r="D2911" s="10" t="s">
        <v>2869</v>
      </c>
      <c r="E2911" s="10" t="str">
        <f>"644020240512154900169835"</f>
        <v>644020240512154900169835</v>
      </c>
      <c r="F2911" s="9"/>
    </row>
    <row r="2912" s="2" customFormat="1" ht="30" customHeight="1" spans="1:6">
      <c r="A2912" s="9">
        <v>2909</v>
      </c>
      <c r="B2912" s="10" t="s">
        <v>2825</v>
      </c>
      <c r="C2912" s="10" t="s">
        <v>2826</v>
      </c>
      <c r="D2912" s="10" t="s">
        <v>2870</v>
      </c>
      <c r="E2912" s="10" t="str">
        <f>"644020240512172851170208"</f>
        <v>644020240512172851170208</v>
      </c>
      <c r="F2912" s="9"/>
    </row>
    <row r="2913" s="2" customFormat="1" ht="30" customHeight="1" spans="1:6">
      <c r="A2913" s="9">
        <v>2910</v>
      </c>
      <c r="B2913" s="10" t="s">
        <v>2825</v>
      </c>
      <c r="C2913" s="10" t="s">
        <v>2826</v>
      </c>
      <c r="D2913" s="10" t="s">
        <v>2871</v>
      </c>
      <c r="E2913" s="10" t="str">
        <f>"644020240512193024170609"</f>
        <v>644020240512193024170609</v>
      </c>
      <c r="F2913" s="9"/>
    </row>
    <row r="2914" s="2" customFormat="1" ht="30" customHeight="1" spans="1:6">
      <c r="A2914" s="9">
        <v>2911</v>
      </c>
      <c r="B2914" s="10" t="s">
        <v>2825</v>
      </c>
      <c r="C2914" s="10" t="s">
        <v>2826</v>
      </c>
      <c r="D2914" s="10" t="s">
        <v>2872</v>
      </c>
      <c r="E2914" s="10" t="str">
        <f>"644020240512150726169675"</f>
        <v>644020240512150726169675</v>
      </c>
      <c r="F2914" s="9"/>
    </row>
    <row r="2915" s="2" customFormat="1" ht="30" customHeight="1" spans="1:6">
      <c r="A2915" s="9">
        <v>2912</v>
      </c>
      <c r="B2915" s="10" t="s">
        <v>2825</v>
      </c>
      <c r="C2915" s="10" t="s">
        <v>2826</v>
      </c>
      <c r="D2915" s="10" t="s">
        <v>2873</v>
      </c>
      <c r="E2915" s="10" t="str">
        <f>"644020240512173036170215"</f>
        <v>644020240512173036170215</v>
      </c>
      <c r="F2915" s="9"/>
    </row>
    <row r="2916" s="2" customFormat="1" ht="30" customHeight="1" spans="1:6">
      <c r="A2916" s="9">
        <v>2913</v>
      </c>
      <c r="B2916" s="10" t="s">
        <v>2825</v>
      </c>
      <c r="C2916" s="10" t="s">
        <v>2826</v>
      </c>
      <c r="D2916" s="10" t="s">
        <v>2874</v>
      </c>
      <c r="E2916" s="10" t="str">
        <f>"644020240512172050170180"</f>
        <v>644020240512172050170180</v>
      </c>
      <c r="F2916" s="9"/>
    </row>
    <row r="2917" s="2" customFormat="1" ht="30" customHeight="1" spans="1:6">
      <c r="A2917" s="9">
        <v>2914</v>
      </c>
      <c r="B2917" s="10" t="s">
        <v>2825</v>
      </c>
      <c r="C2917" s="10" t="s">
        <v>2826</v>
      </c>
      <c r="D2917" s="10" t="s">
        <v>2875</v>
      </c>
      <c r="E2917" s="10" t="str">
        <f>"644020240512194157170643"</f>
        <v>644020240512194157170643</v>
      </c>
      <c r="F2917" s="9"/>
    </row>
    <row r="2918" s="2" customFormat="1" ht="30" customHeight="1" spans="1:6">
      <c r="A2918" s="9">
        <v>2915</v>
      </c>
      <c r="B2918" s="10" t="s">
        <v>2825</v>
      </c>
      <c r="C2918" s="10" t="s">
        <v>2826</v>
      </c>
      <c r="D2918" s="10" t="s">
        <v>2876</v>
      </c>
      <c r="E2918" s="10" t="str">
        <f>"644020240512203800170879"</f>
        <v>644020240512203800170879</v>
      </c>
      <c r="F2918" s="9"/>
    </row>
    <row r="2919" s="2" customFormat="1" ht="30" customHeight="1" spans="1:6">
      <c r="A2919" s="9">
        <v>2916</v>
      </c>
      <c r="B2919" s="10" t="s">
        <v>2825</v>
      </c>
      <c r="C2919" s="10" t="s">
        <v>2826</v>
      </c>
      <c r="D2919" s="10" t="s">
        <v>2877</v>
      </c>
      <c r="E2919" s="10" t="str">
        <f>"644020240512100023168393"</f>
        <v>644020240512100023168393</v>
      </c>
      <c r="F2919" s="9"/>
    </row>
    <row r="2920" s="2" customFormat="1" ht="30" customHeight="1" spans="1:6">
      <c r="A2920" s="9">
        <v>2917</v>
      </c>
      <c r="B2920" s="10" t="s">
        <v>2825</v>
      </c>
      <c r="C2920" s="10" t="s">
        <v>2826</v>
      </c>
      <c r="D2920" s="10" t="s">
        <v>2878</v>
      </c>
      <c r="E2920" s="10" t="str">
        <f>"644020240512191236170543"</f>
        <v>644020240512191236170543</v>
      </c>
      <c r="F2920" s="9"/>
    </row>
    <row r="2921" s="2" customFormat="1" ht="30" customHeight="1" spans="1:6">
      <c r="A2921" s="9">
        <v>2918</v>
      </c>
      <c r="B2921" s="10" t="s">
        <v>2825</v>
      </c>
      <c r="C2921" s="10" t="s">
        <v>2826</v>
      </c>
      <c r="D2921" s="10" t="s">
        <v>2879</v>
      </c>
      <c r="E2921" s="10" t="str">
        <f>"644020240512091438168172"</f>
        <v>644020240512091438168172</v>
      </c>
      <c r="F2921" s="9"/>
    </row>
    <row r="2922" s="2" customFormat="1" ht="30" customHeight="1" spans="1:6">
      <c r="A2922" s="9">
        <v>2919</v>
      </c>
      <c r="B2922" s="10" t="s">
        <v>2825</v>
      </c>
      <c r="C2922" s="10" t="s">
        <v>2826</v>
      </c>
      <c r="D2922" s="10" t="s">
        <v>2880</v>
      </c>
      <c r="E2922" s="10" t="str">
        <f>"644020240512212219171108"</f>
        <v>644020240512212219171108</v>
      </c>
      <c r="F2922" s="9"/>
    </row>
    <row r="2923" s="2" customFormat="1" ht="30" customHeight="1" spans="1:6">
      <c r="A2923" s="9">
        <v>2920</v>
      </c>
      <c r="B2923" s="10" t="s">
        <v>2825</v>
      </c>
      <c r="C2923" s="10" t="s">
        <v>2826</v>
      </c>
      <c r="D2923" s="10" t="s">
        <v>655</v>
      </c>
      <c r="E2923" s="10" t="str">
        <f>"644020240512205955170992"</f>
        <v>644020240512205955170992</v>
      </c>
      <c r="F2923" s="9"/>
    </row>
    <row r="2924" s="2" customFormat="1" ht="30" customHeight="1" spans="1:6">
      <c r="A2924" s="9">
        <v>2921</v>
      </c>
      <c r="B2924" s="10" t="s">
        <v>2825</v>
      </c>
      <c r="C2924" s="10" t="s">
        <v>2826</v>
      </c>
      <c r="D2924" s="10" t="s">
        <v>2881</v>
      </c>
      <c r="E2924" s="10" t="str">
        <f>"644020240512212611171135"</f>
        <v>644020240512212611171135</v>
      </c>
      <c r="F2924" s="9"/>
    </row>
    <row r="2925" s="2" customFormat="1" ht="30" customHeight="1" spans="1:6">
      <c r="A2925" s="9">
        <v>2922</v>
      </c>
      <c r="B2925" s="10" t="s">
        <v>2825</v>
      </c>
      <c r="C2925" s="10" t="s">
        <v>2826</v>
      </c>
      <c r="D2925" s="10" t="s">
        <v>2882</v>
      </c>
      <c r="E2925" s="10" t="str">
        <f>"644020240512112424168856"</f>
        <v>644020240512112424168856</v>
      </c>
      <c r="F2925" s="9"/>
    </row>
    <row r="2926" s="2" customFormat="1" ht="30" customHeight="1" spans="1:6">
      <c r="A2926" s="9">
        <v>2923</v>
      </c>
      <c r="B2926" s="10" t="s">
        <v>2825</v>
      </c>
      <c r="C2926" s="10" t="s">
        <v>2826</v>
      </c>
      <c r="D2926" s="10" t="s">
        <v>2883</v>
      </c>
      <c r="E2926" s="10" t="str">
        <f>"644020240512215136171272"</f>
        <v>644020240512215136171272</v>
      </c>
      <c r="F2926" s="9"/>
    </row>
    <row r="2927" s="2" customFormat="1" ht="30" customHeight="1" spans="1:6">
      <c r="A2927" s="9">
        <v>2924</v>
      </c>
      <c r="B2927" s="10" t="s">
        <v>2825</v>
      </c>
      <c r="C2927" s="10" t="s">
        <v>2826</v>
      </c>
      <c r="D2927" s="10" t="s">
        <v>2884</v>
      </c>
      <c r="E2927" s="10" t="str">
        <f>"644020240512095604168359"</f>
        <v>644020240512095604168359</v>
      </c>
      <c r="F2927" s="9"/>
    </row>
    <row r="2928" s="2" customFormat="1" ht="30" customHeight="1" spans="1:6">
      <c r="A2928" s="9">
        <v>2925</v>
      </c>
      <c r="B2928" s="10" t="s">
        <v>2825</v>
      </c>
      <c r="C2928" s="10" t="s">
        <v>2826</v>
      </c>
      <c r="D2928" s="10" t="s">
        <v>2885</v>
      </c>
      <c r="E2928" s="10" t="str">
        <f>"644020240512201750170785"</f>
        <v>644020240512201750170785</v>
      </c>
      <c r="F2928" s="9"/>
    </row>
    <row r="2929" s="2" customFormat="1" ht="30" customHeight="1" spans="1:6">
      <c r="A2929" s="9">
        <v>2926</v>
      </c>
      <c r="B2929" s="10" t="s">
        <v>2825</v>
      </c>
      <c r="C2929" s="10" t="s">
        <v>2826</v>
      </c>
      <c r="D2929" s="10" t="s">
        <v>2886</v>
      </c>
      <c r="E2929" s="10" t="str">
        <f>"644020240512222152171443"</f>
        <v>644020240512222152171443</v>
      </c>
      <c r="F2929" s="9"/>
    </row>
    <row r="2930" s="2" customFormat="1" ht="30" customHeight="1" spans="1:6">
      <c r="A2930" s="9">
        <v>2927</v>
      </c>
      <c r="B2930" s="10" t="s">
        <v>2825</v>
      </c>
      <c r="C2930" s="10" t="s">
        <v>2826</v>
      </c>
      <c r="D2930" s="10" t="s">
        <v>2887</v>
      </c>
      <c r="E2930" s="10" t="str">
        <f>"644020240512224420171576"</f>
        <v>644020240512224420171576</v>
      </c>
      <c r="F2930" s="9"/>
    </row>
    <row r="2931" s="2" customFormat="1" ht="30" customHeight="1" spans="1:6">
      <c r="A2931" s="9">
        <v>2928</v>
      </c>
      <c r="B2931" s="10" t="s">
        <v>2825</v>
      </c>
      <c r="C2931" s="10" t="s">
        <v>2826</v>
      </c>
      <c r="D2931" s="10" t="s">
        <v>2888</v>
      </c>
      <c r="E2931" s="10" t="str">
        <f>"644020240512224401171574"</f>
        <v>644020240512224401171574</v>
      </c>
      <c r="F2931" s="9"/>
    </row>
    <row r="2932" s="2" customFormat="1" ht="30" customHeight="1" spans="1:6">
      <c r="A2932" s="9">
        <v>2929</v>
      </c>
      <c r="B2932" s="10" t="s">
        <v>2825</v>
      </c>
      <c r="C2932" s="10" t="s">
        <v>2826</v>
      </c>
      <c r="D2932" s="10" t="s">
        <v>2889</v>
      </c>
      <c r="E2932" s="10" t="str">
        <f>"644020240512091421168171"</f>
        <v>644020240512091421168171</v>
      </c>
      <c r="F2932" s="9"/>
    </row>
    <row r="2933" s="2" customFormat="1" ht="30" customHeight="1" spans="1:6">
      <c r="A2933" s="9">
        <v>2930</v>
      </c>
      <c r="B2933" s="10" t="s">
        <v>2825</v>
      </c>
      <c r="C2933" s="10" t="s">
        <v>2826</v>
      </c>
      <c r="D2933" s="10" t="s">
        <v>2890</v>
      </c>
      <c r="E2933" s="10" t="str">
        <f>"644020240512230457171707"</f>
        <v>644020240512230457171707</v>
      </c>
      <c r="F2933" s="9"/>
    </row>
    <row r="2934" s="2" customFormat="1" ht="30" customHeight="1" spans="1:6">
      <c r="A2934" s="9">
        <v>2931</v>
      </c>
      <c r="B2934" s="10" t="s">
        <v>2825</v>
      </c>
      <c r="C2934" s="10" t="s">
        <v>2826</v>
      </c>
      <c r="D2934" s="10" t="s">
        <v>2891</v>
      </c>
      <c r="E2934" s="10" t="str">
        <f>"644020240512164502170060"</f>
        <v>644020240512164502170060</v>
      </c>
      <c r="F2934" s="9"/>
    </row>
    <row r="2935" s="2" customFormat="1" ht="30" customHeight="1" spans="1:6">
      <c r="A2935" s="9">
        <v>2932</v>
      </c>
      <c r="B2935" s="10" t="s">
        <v>2825</v>
      </c>
      <c r="C2935" s="10" t="s">
        <v>2826</v>
      </c>
      <c r="D2935" s="10" t="s">
        <v>2892</v>
      </c>
      <c r="E2935" s="10" t="str">
        <f>"644020240512201920170795"</f>
        <v>644020240512201920170795</v>
      </c>
      <c r="F2935" s="9"/>
    </row>
    <row r="2936" s="2" customFormat="1" ht="30" customHeight="1" spans="1:6">
      <c r="A2936" s="9">
        <v>2933</v>
      </c>
      <c r="B2936" s="10" t="s">
        <v>2825</v>
      </c>
      <c r="C2936" s="10" t="s">
        <v>2826</v>
      </c>
      <c r="D2936" s="10" t="s">
        <v>2893</v>
      </c>
      <c r="E2936" s="10" t="str">
        <f>"644020240512223031171498"</f>
        <v>644020240512223031171498</v>
      </c>
      <c r="F2936" s="9"/>
    </row>
    <row r="2937" s="2" customFormat="1" ht="30" customHeight="1" spans="1:6">
      <c r="A2937" s="9">
        <v>2934</v>
      </c>
      <c r="B2937" s="10" t="s">
        <v>2825</v>
      </c>
      <c r="C2937" s="10" t="s">
        <v>2826</v>
      </c>
      <c r="D2937" s="10" t="s">
        <v>2894</v>
      </c>
      <c r="E2937" s="10" t="str">
        <f>"644020240512173126170218"</f>
        <v>644020240512173126170218</v>
      </c>
      <c r="F2937" s="9"/>
    </row>
    <row r="2938" s="2" customFormat="1" ht="30" customHeight="1" spans="1:6">
      <c r="A2938" s="9">
        <v>2935</v>
      </c>
      <c r="B2938" s="10" t="s">
        <v>2825</v>
      </c>
      <c r="C2938" s="10" t="s">
        <v>2826</v>
      </c>
      <c r="D2938" s="10" t="s">
        <v>2895</v>
      </c>
      <c r="E2938" s="10" t="str">
        <f>"644020240512105537168696"</f>
        <v>644020240512105537168696</v>
      </c>
      <c r="F2938" s="9"/>
    </row>
    <row r="2939" s="2" customFormat="1" ht="30" customHeight="1" spans="1:6">
      <c r="A2939" s="9">
        <v>2936</v>
      </c>
      <c r="B2939" s="10" t="s">
        <v>2825</v>
      </c>
      <c r="C2939" s="10" t="s">
        <v>2826</v>
      </c>
      <c r="D2939" s="10" t="s">
        <v>2896</v>
      </c>
      <c r="E2939" s="10" t="str">
        <f>"644020240512095837168377"</f>
        <v>644020240512095837168377</v>
      </c>
      <c r="F2939" s="9"/>
    </row>
    <row r="2940" s="2" customFormat="1" ht="30" customHeight="1" spans="1:6">
      <c r="A2940" s="9">
        <v>2937</v>
      </c>
      <c r="B2940" s="10" t="s">
        <v>2825</v>
      </c>
      <c r="C2940" s="10" t="s">
        <v>2826</v>
      </c>
      <c r="D2940" s="10" t="s">
        <v>2897</v>
      </c>
      <c r="E2940" s="10" t="str">
        <f>"644020240513084448172384"</f>
        <v>644020240513084448172384</v>
      </c>
      <c r="F2940" s="9"/>
    </row>
    <row r="2941" s="2" customFormat="1" ht="30" customHeight="1" spans="1:6">
      <c r="A2941" s="9">
        <v>2938</v>
      </c>
      <c r="B2941" s="10" t="s">
        <v>2825</v>
      </c>
      <c r="C2941" s="10" t="s">
        <v>2826</v>
      </c>
      <c r="D2941" s="10" t="s">
        <v>2898</v>
      </c>
      <c r="E2941" s="10" t="str">
        <f>"644020240513091422172633"</f>
        <v>644020240513091422172633</v>
      </c>
      <c r="F2941" s="9"/>
    </row>
    <row r="2942" s="2" customFormat="1" ht="30" customHeight="1" spans="1:6">
      <c r="A2942" s="9">
        <v>2939</v>
      </c>
      <c r="B2942" s="10" t="s">
        <v>2825</v>
      </c>
      <c r="C2942" s="10" t="s">
        <v>2826</v>
      </c>
      <c r="D2942" s="10" t="s">
        <v>2899</v>
      </c>
      <c r="E2942" s="10" t="str">
        <f>"644020240513094827172999"</f>
        <v>644020240513094827172999</v>
      </c>
      <c r="F2942" s="9"/>
    </row>
    <row r="2943" s="2" customFormat="1" ht="30" customHeight="1" spans="1:6">
      <c r="A2943" s="9">
        <v>2940</v>
      </c>
      <c r="B2943" s="10" t="s">
        <v>2825</v>
      </c>
      <c r="C2943" s="10" t="s">
        <v>2826</v>
      </c>
      <c r="D2943" s="10" t="s">
        <v>2900</v>
      </c>
      <c r="E2943" s="10" t="str">
        <f>"644020240512101837168489"</f>
        <v>644020240512101837168489</v>
      </c>
      <c r="F2943" s="9"/>
    </row>
    <row r="2944" s="2" customFormat="1" ht="30" customHeight="1" spans="1:6">
      <c r="A2944" s="9">
        <v>2941</v>
      </c>
      <c r="B2944" s="10" t="s">
        <v>2825</v>
      </c>
      <c r="C2944" s="10" t="s">
        <v>2826</v>
      </c>
      <c r="D2944" s="10" t="s">
        <v>2901</v>
      </c>
      <c r="E2944" s="10" t="str">
        <f>"644020240513084312172376"</f>
        <v>644020240513084312172376</v>
      </c>
      <c r="F2944" s="9"/>
    </row>
    <row r="2945" s="2" customFormat="1" ht="30" customHeight="1" spans="1:6">
      <c r="A2945" s="9">
        <v>2942</v>
      </c>
      <c r="B2945" s="10" t="s">
        <v>2825</v>
      </c>
      <c r="C2945" s="10" t="s">
        <v>2826</v>
      </c>
      <c r="D2945" s="10" t="s">
        <v>2902</v>
      </c>
      <c r="E2945" s="10" t="str">
        <f>"644020240513101023173212"</f>
        <v>644020240513101023173212</v>
      </c>
      <c r="F2945" s="9"/>
    </row>
    <row r="2946" s="2" customFormat="1" ht="30" customHeight="1" spans="1:6">
      <c r="A2946" s="9">
        <v>2943</v>
      </c>
      <c r="B2946" s="10" t="s">
        <v>2825</v>
      </c>
      <c r="C2946" s="10" t="s">
        <v>2826</v>
      </c>
      <c r="D2946" s="10" t="s">
        <v>2903</v>
      </c>
      <c r="E2946" s="10" t="str">
        <f>"644020240512110606168752"</f>
        <v>644020240512110606168752</v>
      </c>
      <c r="F2946" s="9"/>
    </row>
    <row r="2947" s="2" customFormat="1" ht="30" customHeight="1" spans="1:6">
      <c r="A2947" s="9">
        <v>2944</v>
      </c>
      <c r="B2947" s="10" t="s">
        <v>2825</v>
      </c>
      <c r="C2947" s="10" t="s">
        <v>2826</v>
      </c>
      <c r="D2947" s="10" t="s">
        <v>2904</v>
      </c>
      <c r="E2947" s="10" t="str">
        <f>"644020240513082657172279"</f>
        <v>644020240513082657172279</v>
      </c>
      <c r="F2947" s="9"/>
    </row>
    <row r="2948" s="2" customFormat="1" ht="30" customHeight="1" spans="1:6">
      <c r="A2948" s="9">
        <v>2945</v>
      </c>
      <c r="B2948" s="10" t="s">
        <v>2825</v>
      </c>
      <c r="C2948" s="10" t="s">
        <v>2826</v>
      </c>
      <c r="D2948" s="10" t="s">
        <v>2905</v>
      </c>
      <c r="E2948" s="10" t="str">
        <f>"644020240512101930168501"</f>
        <v>644020240512101930168501</v>
      </c>
      <c r="F2948" s="9"/>
    </row>
    <row r="2949" s="2" customFormat="1" ht="30" customHeight="1" spans="1:6">
      <c r="A2949" s="9">
        <v>2946</v>
      </c>
      <c r="B2949" s="10" t="s">
        <v>2825</v>
      </c>
      <c r="C2949" s="10" t="s">
        <v>2826</v>
      </c>
      <c r="D2949" s="10" t="s">
        <v>2906</v>
      </c>
      <c r="E2949" s="10" t="str">
        <f>"644020240513101617173272"</f>
        <v>644020240513101617173272</v>
      </c>
      <c r="F2949" s="9"/>
    </row>
    <row r="2950" s="2" customFormat="1" ht="30" customHeight="1" spans="1:6">
      <c r="A2950" s="9">
        <v>2947</v>
      </c>
      <c r="B2950" s="10" t="s">
        <v>2825</v>
      </c>
      <c r="C2950" s="10" t="s">
        <v>2826</v>
      </c>
      <c r="D2950" s="10" t="s">
        <v>2907</v>
      </c>
      <c r="E2950" s="10" t="str">
        <f>"644020240512150008169646"</f>
        <v>644020240512150008169646</v>
      </c>
      <c r="F2950" s="9"/>
    </row>
    <row r="2951" s="2" customFormat="1" ht="30" customHeight="1" spans="1:6">
      <c r="A2951" s="9">
        <v>2948</v>
      </c>
      <c r="B2951" s="10" t="s">
        <v>2825</v>
      </c>
      <c r="C2951" s="10" t="s">
        <v>2826</v>
      </c>
      <c r="D2951" s="10" t="s">
        <v>2908</v>
      </c>
      <c r="E2951" s="10" t="str">
        <f>"644020240513094331172944"</f>
        <v>644020240513094331172944</v>
      </c>
      <c r="F2951" s="9"/>
    </row>
    <row r="2952" s="2" customFormat="1" ht="30" customHeight="1" spans="1:6">
      <c r="A2952" s="9">
        <v>2949</v>
      </c>
      <c r="B2952" s="10" t="s">
        <v>2825</v>
      </c>
      <c r="C2952" s="10" t="s">
        <v>2826</v>
      </c>
      <c r="D2952" s="10" t="s">
        <v>2909</v>
      </c>
      <c r="E2952" s="10" t="str">
        <f>"644020240513091710172668"</f>
        <v>644020240513091710172668</v>
      </c>
      <c r="F2952" s="9"/>
    </row>
    <row r="2953" s="2" customFormat="1" ht="30" customHeight="1" spans="1:6">
      <c r="A2953" s="9">
        <v>2950</v>
      </c>
      <c r="B2953" s="10" t="s">
        <v>2825</v>
      </c>
      <c r="C2953" s="10" t="s">
        <v>2826</v>
      </c>
      <c r="D2953" s="10" t="s">
        <v>2910</v>
      </c>
      <c r="E2953" s="10" t="str">
        <f>"644020240513073342172150"</f>
        <v>644020240513073342172150</v>
      </c>
      <c r="F2953" s="9"/>
    </row>
    <row r="2954" s="2" customFormat="1" ht="30" customHeight="1" spans="1:6">
      <c r="A2954" s="9">
        <v>2951</v>
      </c>
      <c r="B2954" s="10" t="s">
        <v>2825</v>
      </c>
      <c r="C2954" s="10" t="s">
        <v>2826</v>
      </c>
      <c r="D2954" s="10" t="s">
        <v>1393</v>
      </c>
      <c r="E2954" s="10" t="str">
        <f>"644020240513105045173609"</f>
        <v>644020240513105045173609</v>
      </c>
      <c r="F2954" s="9"/>
    </row>
    <row r="2955" s="2" customFormat="1" ht="30" customHeight="1" spans="1:6">
      <c r="A2955" s="9">
        <v>2952</v>
      </c>
      <c r="B2955" s="10" t="s">
        <v>2825</v>
      </c>
      <c r="C2955" s="10" t="s">
        <v>2826</v>
      </c>
      <c r="D2955" s="10" t="s">
        <v>2911</v>
      </c>
      <c r="E2955" s="10" t="str">
        <f>"644020240512102357168529"</f>
        <v>644020240512102357168529</v>
      </c>
      <c r="F2955" s="9"/>
    </row>
    <row r="2956" s="2" customFormat="1" ht="30" customHeight="1" spans="1:6">
      <c r="A2956" s="9">
        <v>2953</v>
      </c>
      <c r="B2956" s="10" t="s">
        <v>2825</v>
      </c>
      <c r="C2956" s="10" t="s">
        <v>2826</v>
      </c>
      <c r="D2956" s="10" t="s">
        <v>2912</v>
      </c>
      <c r="E2956" s="10" t="str">
        <f>"644020240513105536173651"</f>
        <v>644020240513105536173651</v>
      </c>
      <c r="F2956" s="9"/>
    </row>
    <row r="2957" s="2" customFormat="1" ht="30" customHeight="1" spans="1:6">
      <c r="A2957" s="9">
        <v>2954</v>
      </c>
      <c r="B2957" s="10" t="s">
        <v>2825</v>
      </c>
      <c r="C2957" s="10" t="s">
        <v>2826</v>
      </c>
      <c r="D2957" s="10" t="s">
        <v>2913</v>
      </c>
      <c r="E2957" s="10" t="str">
        <f>"644020240512144937169611"</f>
        <v>644020240512144937169611</v>
      </c>
      <c r="F2957" s="9"/>
    </row>
    <row r="2958" s="2" customFormat="1" ht="30" customHeight="1" spans="1:6">
      <c r="A2958" s="9">
        <v>2955</v>
      </c>
      <c r="B2958" s="10" t="s">
        <v>2825</v>
      </c>
      <c r="C2958" s="10" t="s">
        <v>2826</v>
      </c>
      <c r="D2958" s="10" t="s">
        <v>2914</v>
      </c>
      <c r="E2958" s="10" t="str">
        <f>"644020240512112304168852"</f>
        <v>644020240512112304168852</v>
      </c>
      <c r="F2958" s="9"/>
    </row>
    <row r="2959" s="2" customFormat="1" ht="30" customHeight="1" spans="1:6">
      <c r="A2959" s="9">
        <v>2956</v>
      </c>
      <c r="B2959" s="10" t="s">
        <v>2825</v>
      </c>
      <c r="C2959" s="10" t="s">
        <v>2826</v>
      </c>
      <c r="D2959" s="10" t="s">
        <v>1004</v>
      </c>
      <c r="E2959" s="10" t="str">
        <f>"644020240513111337173816"</f>
        <v>644020240513111337173816</v>
      </c>
      <c r="F2959" s="9"/>
    </row>
    <row r="2960" s="2" customFormat="1" ht="30" customHeight="1" spans="1:6">
      <c r="A2960" s="9">
        <v>2957</v>
      </c>
      <c r="B2960" s="10" t="s">
        <v>2825</v>
      </c>
      <c r="C2960" s="10" t="s">
        <v>2826</v>
      </c>
      <c r="D2960" s="10" t="s">
        <v>2915</v>
      </c>
      <c r="E2960" s="10" t="str">
        <f>"644020240513092845172792"</f>
        <v>644020240513092845172792</v>
      </c>
      <c r="F2960" s="9"/>
    </row>
    <row r="2961" s="2" customFormat="1" ht="30" customHeight="1" spans="1:6">
      <c r="A2961" s="9">
        <v>2958</v>
      </c>
      <c r="B2961" s="10" t="s">
        <v>2825</v>
      </c>
      <c r="C2961" s="10" t="s">
        <v>2826</v>
      </c>
      <c r="D2961" s="10" t="s">
        <v>2916</v>
      </c>
      <c r="E2961" s="10" t="str">
        <f>"644020240513103454173469"</f>
        <v>644020240513103454173469</v>
      </c>
      <c r="F2961" s="9"/>
    </row>
    <row r="2962" s="2" customFormat="1" ht="30" customHeight="1" spans="1:6">
      <c r="A2962" s="9">
        <v>2959</v>
      </c>
      <c r="B2962" s="10" t="s">
        <v>2825</v>
      </c>
      <c r="C2962" s="10" t="s">
        <v>2826</v>
      </c>
      <c r="D2962" s="10" t="s">
        <v>2917</v>
      </c>
      <c r="E2962" s="10" t="str">
        <f>"644020240512200450170728"</f>
        <v>644020240512200450170728</v>
      </c>
      <c r="F2962" s="9"/>
    </row>
    <row r="2963" s="2" customFormat="1" ht="30" customHeight="1" spans="1:6">
      <c r="A2963" s="9">
        <v>2960</v>
      </c>
      <c r="B2963" s="10" t="s">
        <v>2825</v>
      </c>
      <c r="C2963" s="10" t="s">
        <v>2826</v>
      </c>
      <c r="D2963" s="10" t="s">
        <v>2918</v>
      </c>
      <c r="E2963" s="10" t="str">
        <f>"644020240513103426173462"</f>
        <v>644020240513103426173462</v>
      </c>
      <c r="F2963" s="9"/>
    </row>
    <row r="2964" s="2" customFormat="1" ht="30" customHeight="1" spans="1:6">
      <c r="A2964" s="9">
        <v>2961</v>
      </c>
      <c r="B2964" s="10" t="s">
        <v>2825</v>
      </c>
      <c r="C2964" s="10" t="s">
        <v>2826</v>
      </c>
      <c r="D2964" s="10" t="s">
        <v>2919</v>
      </c>
      <c r="E2964" s="10" t="str">
        <f>"644020240513105505173644"</f>
        <v>644020240513105505173644</v>
      </c>
      <c r="F2964" s="9"/>
    </row>
    <row r="2965" s="2" customFormat="1" ht="30" customHeight="1" spans="1:6">
      <c r="A2965" s="9">
        <v>2962</v>
      </c>
      <c r="B2965" s="10" t="s">
        <v>2825</v>
      </c>
      <c r="C2965" s="10" t="s">
        <v>2826</v>
      </c>
      <c r="D2965" s="10" t="s">
        <v>2920</v>
      </c>
      <c r="E2965" s="10" t="str">
        <f>"644020240513115912174130"</f>
        <v>644020240513115912174130</v>
      </c>
      <c r="F2965" s="9"/>
    </row>
    <row r="2966" s="2" customFormat="1" ht="30" customHeight="1" spans="1:6">
      <c r="A2966" s="9">
        <v>2963</v>
      </c>
      <c r="B2966" s="10" t="s">
        <v>2825</v>
      </c>
      <c r="C2966" s="10" t="s">
        <v>2826</v>
      </c>
      <c r="D2966" s="10" t="s">
        <v>2921</v>
      </c>
      <c r="E2966" s="10" t="str">
        <f>"644020240513121134174197"</f>
        <v>644020240513121134174197</v>
      </c>
      <c r="F2966" s="9"/>
    </row>
    <row r="2967" s="2" customFormat="1" ht="30" customHeight="1" spans="1:6">
      <c r="A2967" s="9">
        <v>2964</v>
      </c>
      <c r="B2967" s="10" t="s">
        <v>2825</v>
      </c>
      <c r="C2967" s="10" t="s">
        <v>2826</v>
      </c>
      <c r="D2967" s="10" t="s">
        <v>2922</v>
      </c>
      <c r="E2967" s="10" t="str">
        <f>"644020240513112818173948"</f>
        <v>644020240513112818173948</v>
      </c>
      <c r="F2967" s="9"/>
    </row>
    <row r="2968" s="2" customFormat="1" ht="30" customHeight="1" spans="1:6">
      <c r="A2968" s="9">
        <v>2965</v>
      </c>
      <c r="B2968" s="10" t="s">
        <v>2825</v>
      </c>
      <c r="C2968" s="10" t="s">
        <v>2826</v>
      </c>
      <c r="D2968" s="10" t="s">
        <v>2923</v>
      </c>
      <c r="E2968" s="10" t="str">
        <f>"644020240513123248174316"</f>
        <v>644020240513123248174316</v>
      </c>
      <c r="F2968" s="9"/>
    </row>
    <row r="2969" s="2" customFormat="1" ht="30" customHeight="1" spans="1:6">
      <c r="A2969" s="9">
        <v>2966</v>
      </c>
      <c r="B2969" s="10" t="s">
        <v>2825</v>
      </c>
      <c r="C2969" s="10" t="s">
        <v>2826</v>
      </c>
      <c r="D2969" s="10" t="s">
        <v>2924</v>
      </c>
      <c r="E2969" s="10" t="str">
        <f>"644020240512165753170101"</f>
        <v>644020240512165753170101</v>
      </c>
      <c r="F2969" s="9"/>
    </row>
    <row r="2970" s="2" customFormat="1" ht="30" customHeight="1" spans="1:6">
      <c r="A2970" s="9">
        <v>2967</v>
      </c>
      <c r="B2970" s="10" t="s">
        <v>2825</v>
      </c>
      <c r="C2970" s="10" t="s">
        <v>2826</v>
      </c>
      <c r="D2970" s="10" t="s">
        <v>2925</v>
      </c>
      <c r="E2970" s="10" t="str">
        <f>"644020240512220120171335"</f>
        <v>644020240512220120171335</v>
      </c>
      <c r="F2970" s="9"/>
    </row>
    <row r="2971" s="2" customFormat="1" ht="30" customHeight="1" spans="1:6">
      <c r="A2971" s="9">
        <v>2968</v>
      </c>
      <c r="B2971" s="10" t="s">
        <v>2825</v>
      </c>
      <c r="C2971" s="10" t="s">
        <v>2826</v>
      </c>
      <c r="D2971" s="10" t="s">
        <v>2926</v>
      </c>
      <c r="E2971" s="10" t="str">
        <f>"644020240512220522171356"</f>
        <v>644020240512220522171356</v>
      </c>
      <c r="F2971" s="9"/>
    </row>
    <row r="2972" s="2" customFormat="1" ht="30" customHeight="1" spans="1:6">
      <c r="A2972" s="9">
        <v>2969</v>
      </c>
      <c r="B2972" s="10" t="s">
        <v>2825</v>
      </c>
      <c r="C2972" s="10" t="s">
        <v>2826</v>
      </c>
      <c r="D2972" s="10" t="s">
        <v>2927</v>
      </c>
      <c r="E2972" s="10" t="str">
        <f>"644020240512223619171529"</f>
        <v>644020240512223619171529</v>
      </c>
      <c r="F2972" s="9"/>
    </row>
    <row r="2973" s="2" customFormat="1" ht="30" customHeight="1" spans="1:6">
      <c r="A2973" s="9">
        <v>2970</v>
      </c>
      <c r="B2973" s="10" t="s">
        <v>2825</v>
      </c>
      <c r="C2973" s="10" t="s">
        <v>2826</v>
      </c>
      <c r="D2973" s="10" t="s">
        <v>2928</v>
      </c>
      <c r="E2973" s="10" t="str">
        <f>"644020240512225917171667"</f>
        <v>644020240512225917171667</v>
      </c>
      <c r="F2973" s="9"/>
    </row>
    <row r="2974" s="2" customFormat="1" ht="30" customHeight="1" spans="1:6">
      <c r="A2974" s="9">
        <v>2971</v>
      </c>
      <c r="B2974" s="10" t="s">
        <v>2825</v>
      </c>
      <c r="C2974" s="10" t="s">
        <v>2826</v>
      </c>
      <c r="D2974" s="10" t="s">
        <v>2929</v>
      </c>
      <c r="E2974" s="10" t="str">
        <f>"644020240513133020174660"</f>
        <v>644020240513133020174660</v>
      </c>
      <c r="F2974" s="9"/>
    </row>
    <row r="2975" s="2" customFormat="1" ht="30" customHeight="1" spans="1:6">
      <c r="A2975" s="9">
        <v>2972</v>
      </c>
      <c r="B2975" s="10" t="s">
        <v>2825</v>
      </c>
      <c r="C2975" s="10" t="s">
        <v>2826</v>
      </c>
      <c r="D2975" s="10" t="s">
        <v>2930</v>
      </c>
      <c r="E2975" s="10" t="str">
        <f>"644020240513141233174857"</f>
        <v>644020240513141233174857</v>
      </c>
      <c r="F2975" s="9"/>
    </row>
    <row r="2976" s="2" customFormat="1" ht="30" customHeight="1" spans="1:6">
      <c r="A2976" s="9">
        <v>2973</v>
      </c>
      <c r="B2976" s="10" t="s">
        <v>2825</v>
      </c>
      <c r="C2976" s="10" t="s">
        <v>2826</v>
      </c>
      <c r="D2976" s="10" t="s">
        <v>2931</v>
      </c>
      <c r="E2976" s="10" t="str">
        <f>"644020240513114147174042"</f>
        <v>644020240513114147174042</v>
      </c>
      <c r="F2976" s="9"/>
    </row>
    <row r="2977" s="2" customFormat="1" ht="30" customHeight="1" spans="1:6">
      <c r="A2977" s="9">
        <v>2974</v>
      </c>
      <c r="B2977" s="10" t="s">
        <v>2825</v>
      </c>
      <c r="C2977" s="10" t="s">
        <v>2826</v>
      </c>
      <c r="D2977" s="10" t="s">
        <v>2932</v>
      </c>
      <c r="E2977" s="10" t="str">
        <f>"644020240513144607175081"</f>
        <v>644020240513144607175081</v>
      </c>
      <c r="F2977" s="9"/>
    </row>
    <row r="2978" s="2" customFormat="1" ht="30" customHeight="1" spans="1:6">
      <c r="A2978" s="9">
        <v>2975</v>
      </c>
      <c r="B2978" s="10" t="s">
        <v>2825</v>
      </c>
      <c r="C2978" s="10" t="s">
        <v>2826</v>
      </c>
      <c r="D2978" s="10" t="s">
        <v>2933</v>
      </c>
      <c r="E2978" s="10" t="str">
        <f>"644020240513141513174875"</f>
        <v>644020240513141513174875</v>
      </c>
      <c r="F2978" s="9"/>
    </row>
    <row r="2979" s="2" customFormat="1" ht="30" customHeight="1" spans="1:6">
      <c r="A2979" s="9">
        <v>2976</v>
      </c>
      <c r="B2979" s="10" t="s">
        <v>2825</v>
      </c>
      <c r="C2979" s="10" t="s">
        <v>2826</v>
      </c>
      <c r="D2979" s="10" t="s">
        <v>2934</v>
      </c>
      <c r="E2979" s="10" t="str">
        <f>"644020240513114330174051"</f>
        <v>644020240513114330174051</v>
      </c>
      <c r="F2979" s="9"/>
    </row>
    <row r="2980" s="2" customFormat="1" ht="30" customHeight="1" spans="1:6">
      <c r="A2980" s="9">
        <v>2977</v>
      </c>
      <c r="B2980" s="10" t="s">
        <v>2825</v>
      </c>
      <c r="C2980" s="10" t="s">
        <v>2826</v>
      </c>
      <c r="D2980" s="10" t="s">
        <v>2935</v>
      </c>
      <c r="E2980" s="10" t="str">
        <f>"644020240513104031173508"</f>
        <v>644020240513104031173508</v>
      </c>
      <c r="F2980" s="9"/>
    </row>
    <row r="2981" s="2" customFormat="1" ht="30" customHeight="1" spans="1:6">
      <c r="A2981" s="9">
        <v>2978</v>
      </c>
      <c r="B2981" s="10" t="s">
        <v>2825</v>
      </c>
      <c r="C2981" s="10" t="s">
        <v>2826</v>
      </c>
      <c r="D2981" s="10" t="s">
        <v>2936</v>
      </c>
      <c r="E2981" s="10" t="str">
        <f>"644020240513135049174755"</f>
        <v>644020240513135049174755</v>
      </c>
      <c r="F2981" s="9"/>
    </row>
    <row r="2982" s="2" customFormat="1" ht="30" customHeight="1" spans="1:6">
      <c r="A2982" s="9">
        <v>2979</v>
      </c>
      <c r="B2982" s="10" t="s">
        <v>2825</v>
      </c>
      <c r="C2982" s="10" t="s">
        <v>2826</v>
      </c>
      <c r="D2982" s="10" t="s">
        <v>2937</v>
      </c>
      <c r="E2982" s="10" t="str">
        <f>"644020240513115946174133"</f>
        <v>644020240513115946174133</v>
      </c>
      <c r="F2982" s="9"/>
    </row>
    <row r="2983" s="2" customFormat="1" ht="30" customHeight="1" spans="1:6">
      <c r="A2983" s="9">
        <v>2980</v>
      </c>
      <c r="B2983" s="10" t="s">
        <v>2825</v>
      </c>
      <c r="C2983" s="10" t="s">
        <v>2826</v>
      </c>
      <c r="D2983" s="10" t="s">
        <v>2938</v>
      </c>
      <c r="E2983" s="10" t="str">
        <f>"644020240513104722173580"</f>
        <v>644020240513104722173580</v>
      </c>
      <c r="F2983" s="9"/>
    </row>
    <row r="2984" s="2" customFormat="1" ht="30" customHeight="1" spans="1:6">
      <c r="A2984" s="9">
        <v>2981</v>
      </c>
      <c r="B2984" s="10" t="s">
        <v>2825</v>
      </c>
      <c r="C2984" s="10" t="s">
        <v>2826</v>
      </c>
      <c r="D2984" s="10" t="s">
        <v>2939</v>
      </c>
      <c r="E2984" s="10" t="str">
        <f>"644020240513151311175303"</f>
        <v>644020240513151311175303</v>
      </c>
      <c r="F2984" s="9"/>
    </row>
    <row r="2985" s="2" customFormat="1" ht="30" customHeight="1" spans="1:6">
      <c r="A2985" s="9">
        <v>2982</v>
      </c>
      <c r="B2985" s="10" t="s">
        <v>2825</v>
      </c>
      <c r="C2985" s="10" t="s">
        <v>2826</v>
      </c>
      <c r="D2985" s="10" t="s">
        <v>2940</v>
      </c>
      <c r="E2985" s="10" t="str">
        <f>"644020240513080712172206"</f>
        <v>644020240513080712172206</v>
      </c>
      <c r="F2985" s="9"/>
    </row>
    <row r="2986" s="2" customFormat="1" ht="30" customHeight="1" spans="1:6">
      <c r="A2986" s="9">
        <v>2983</v>
      </c>
      <c r="B2986" s="10" t="s">
        <v>2825</v>
      </c>
      <c r="C2986" s="10" t="s">
        <v>2826</v>
      </c>
      <c r="D2986" s="10" t="s">
        <v>2941</v>
      </c>
      <c r="E2986" s="10" t="str">
        <f>"644020240512225128171624"</f>
        <v>644020240512225128171624</v>
      </c>
      <c r="F2986" s="9"/>
    </row>
    <row r="2987" s="2" customFormat="1" ht="30" customHeight="1" spans="1:6">
      <c r="A2987" s="9">
        <v>2984</v>
      </c>
      <c r="B2987" s="10" t="s">
        <v>2825</v>
      </c>
      <c r="C2987" s="10" t="s">
        <v>2826</v>
      </c>
      <c r="D2987" s="10" t="s">
        <v>2942</v>
      </c>
      <c r="E2987" s="10" t="str">
        <f>"644020240513144143175047"</f>
        <v>644020240513144143175047</v>
      </c>
      <c r="F2987" s="9"/>
    </row>
    <row r="2988" s="2" customFormat="1" ht="30" customHeight="1" spans="1:6">
      <c r="A2988" s="9">
        <v>2985</v>
      </c>
      <c r="B2988" s="10" t="s">
        <v>2825</v>
      </c>
      <c r="C2988" s="10" t="s">
        <v>2826</v>
      </c>
      <c r="D2988" s="10" t="s">
        <v>2943</v>
      </c>
      <c r="E2988" s="10" t="str">
        <f>"644020240512224313171566"</f>
        <v>644020240512224313171566</v>
      </c>
      <c r="F2988" s="9"/>
    </row>
    <row r="2989" s="2" customFormat="1" ht="30" customHeight="1" spans="1:6">
      <c r="A2989" s="9">
        <v>2986</v>
      </c>
      <c r="B2989" s="10" t="s">
        <v>2825</v>
      </c>
      <c r="C2989" s="10" t="s">
        <v>2826</v>
      </c>
      <c r="D2989" s="10" t="s">
        <v>2944</v>
      </c>
      <c r="E2989" s="10" t="str">
        <f>"644020240513155525175743"</f>
        <v>644020240513155525175743</v>
      </c>
      <c r="F2989" s="9"/>
    </row>
    <row r="2990" s="2" customFormat="1" ht="30" customHeight="1" spans="1:6">
      <c r="A2990" s="9">
        <v>2987</v>
      </c>
      <c r="B2990" s="10" t="s">
        <v>2825</v>
      </c>
      <c r="C2990" s="10" t="s">
        <v>2826</v>
      </c>
      <c r="D2990" s="10" t="s">
        <v>2945</v>
      </c>
      <c r="E2990" s="10" t="str">
        <f>"644020240513151631175335"</f>
        <v>644020240513151631175335</v>
      </c>
      <c r="F2990" s="9"/>
    </row>
    <row r="2991" s="2" customFormat="1" ht="30" customHeight="1" spans="1:6">
      <c r="A2991" s="9">
        <v>2988</v>
      </c>
      <c r="B2991" s="10" t="s">
        <v>2825</v>
      </c>
      <c r="C2991" s="10" t="s">
        <v>2826</v>
      </c>
      <c r="D2991" s="10" t="s">
        <v>2946</v>
      </c>
      <c r="E2991" s="10" t="str">
        <f>"644020240513152842175449"</f>
        <v>644020240513152842175449</v>
      </c>
      <c r="F2991" s="9"/>
    </row>
    <row r="2992" s="2" customFormat="1" ht="30" customHeight="1" spans="1:6">
      <c r="A2992" s="9">
        <v>2989</v>
      </c>
      <c r="B2992" s="10" t="s">
        <v>2825</v>
      </c>
      <c r="C2992" s="10" t="s">
        <v>2826</v>
      </c>
      <c r="D2992" s="10" t="s">
        <v>2947</v>
      </c>
      <c r="E2992" s="10" t="str">
        <f>"644020240513153250175494"</f>
        <v>644020240513153250175494</v>
      </c>
      <c r="F2992" s="9"/>
    </row>
    <row r="2993" s="2" customFormat="1" ht="30" customHeight="1" spans="1:6">
      <c r="A2993" s="9">
        <v>2990</v>
      </c>
      <c r="B2993" s="10" t="s">
        <v>2825</v>
      </c>
      <c r="C2993" s="10" t="s">
        <v>2826</v>
      </c>
      <c r="D2993" s="10" t="s">
        <v>2948</v>
      </c>
      <c r="E2993" s="10" t="str">
        <f>"644020240512112119168845"</f>
        <v>644020240512112119168845</v>
      </c>
      <c r="F2993" s="9"/>
    </row>
    <row r="2994" s="2" customFormat="1" ht="30" customHeight="1" spans="1:6">
      <c r="A2994" s="9">
        <v>2991</v>
      </c>
      <c r="B2994" s="10" t="s">
        <v>2825</v>
      </c>
      <c r="C2994" s="10" t="s">
        <v>2826</v>
      </c>
      <c r="D2994" s="10" t="s">
        <v>2949</v>
      </c>
      <c r="E2994" s="10" t="str">
        <f>"644020240512170155170116"</f>
        <v>644020240512170155170116</v>
      </c>
      <c r="F2994" s="9"/>
    </row>
    <row r="2995" s="2" customFormat="1" ht="30" customHeight="1" spans="1:6">
      <c r="A2995" s="9">
        <v>2992</v>
      </c>
      <c r="B2995" s="10" t="s">
        <v>2825</v>
      </c>
      <c r="C2995" s="10" t="s">
        <v>2826</v>
      </c>
      <c r="D2995" s="10" t="s">
        <v>2950</v>
      </c>
      <c r="E2995" s="10" t="str">
        <f>"644020240512194054170639"</f>
        <v>644020240512194054170639</v>
      </c>
      <c r="F2995" s="9"/>
    </row>
    <row r="2996" s="2" customFormat="1" ht="30" customHeight="1" spans="1:6">
      <c r="A2996" s="9">
        <v>2993</v>
      </c>
      <c r="B2996" s="10" t="s">
        <v>2825</v>
      </c>
      <c r="C2996" s="10" t="s">
        <v>2826</v>
      </c>
      <c r="D2996" s="10" t="s">
        <v>2951</v>
      </c>
      <c r="E2996" s="10" t="str">
        <f>"644020240513162739175931"</f>
        <v>644020240513162739175931</v>
      </c>
      <c r="F2996" s="9"/>
    </row>
    <row r="2997" s="2" customFormat="1" ht="30" customHeight="1" spans="1:6">
      <c r="A2997" s="9">
        <v>2994</v>
      </c>
      <c r="B2997" s="10" t="s">
        <v>2825</v>
      </c>
      <c r="C2997" s="10" t="s">
        <v>2826</v>
      </c>
      <c r="D2997" s="10" t="s">
        <v>2952</v>
      </c>
      <c r="E2997" s="10" t="str">
        <f>"644020240513164152176006"</f>
        <v>644020240513164152176006</v>
      </c>
      <c r="F2997" s="9"/>
    </row>
    <row r="2998" s="2" customFormat="1" ht="30" customHeight="1" spans="1:6">
      <c r="A2998" s="9">
        <v>2995</v>
      </c>
      <c r="B2998" s="10" t="s">
        <v>2825</v>
      </c>
      <c r="C2998" s="10" t="s">
        <v>2826</v>
      </c>
      <c r="D2998" s="10" t="s">
        <v>2953</v>
      </c>
      <c r="E2998" s="10" t="str">
        <f>"644020240513163739175979"</f>
        <v>644020240513163739175979</v>
      </c>
      <c r="F2998" s="9"/>
    </row>
    <row r="2999" s="2" customFormat="1" ht="30" customHeight="1" spans="1:6">
      <c r="A2999" s="9">
        <v>2996</v>
      </c>
      <c r="B2999" s="10" t="s">
        <v>2825</v>
      </c>
      <c r="C2999" s="10" t="s">
        <v>2826</v>
      </c>
      <c r="D2999" s="10" t="s">
        <v>2954</v>
      </c>
      <c r="E2999" s="10" t="str">
        <f>"644020240513150713175251"</f>
        <v>644020240513150713175251</v>
      </c>
      <c r="F2999" s="9"/>
    </row>
    <row r="3000" s="2" customFormat="1" ht="30" customHeight="1" spans="1:6">
      <c r="A3000" s="9">
        <v>2997</v>
      </c>
      <c r="B3000" s="10" t="s">
        <v>2825</v>
      </c>
      <c r="C3000" s="10" t="s">
        <v>2826</v>
      </c>
      <c r="D3000" s="10" t="s">
        <v>2955</v>
      </c>
      <c r="E3000" s="10" t="str">
        <f>"644020240513164930176045"</f>
        <v>644020240513164930176045</v>
      </c>
      <c r="F3000" s="9"/>
    </row>
    <row r="3001" s="2" customFormat="1" ht="30" customHeight="1" spans="1:6">
      <c r="A3001" s="9">
        <v>2998</v>
      </c>
      <c r="B3001" s="10" t="s">
        <v>2825</v>
      </c>
      <c r="C3001" s="10" t="s">
        <v>2826</v>
      </c>
      <c r="D3001" s="10" t="s">
        <v>2956</v>
      </c>
      <c r="E3001" s="10" t="str">
        <f>"644020240513114257174047"</f>
        <v>644020240513114257174047</v>
      </c>
      <c r="F3001" s="9"/>
    </row>
    <row r="3002" s="2" customFormat="1" ht="30" customHeight="1" spans="1:6">
      <c r="A3002" s="9">
        <v>2999</v>
      </c>
      <c r="B3002" s="10" t="s">
        <v>2825</v>
      </c>
      <c r="C3002" s="10" t="s">
        <v>2826</v>
      </c>
      <c r="D3002" s="10" t="s">
        <v>2957</v>
      </c>
      <c r="E3002" s="10" t="str">
        <f>"644020240513164911176042"</f>
        <v>644020240513164911176042</v>
      </c>
      <c r="F3002" s="9"/>
    </row>
    <row r="3003" s="2" customFormat="1" ht="30" customHeight="1" spans="1:6">
      <c r="A3003" s="9">
        <v>3000</v>
      </c>
      <c r="B3003" s="10" t="s">
        <v>2825</v>
      </c>
      <c r="C3003" s="10" t="s">
        <v>2826</v>
      </c>
      <c r="D3003" s="10" t="s">
        <v>2958</v>
      </c>
      <c r="E3003" s="10" t="str">
        <f>"644020240513165701176079"</f>
        <v>644020240513165701176079</v>
      </c>
      <c r="F3003" s="9"/>
    </row>
    <row r="3004" s="2" customFormat="1" ht="30" customHeight="1" spans="1:6">
      <c r="A3004" s="9">
        <v>3001</v>
      </c>
      <c r="B3004" s="10" t="s">
        <v>2825</v>
      </c>
      <c r="C3004" s="10" t="s">
        <v>2826</v>
      </c>
      <c r="D3004" s="10" t="s">
        <v>2959</v>
      </c>
      <c r="E3004" s="10" t="str">
        <f>"644020240513170615176127"</f>
        <v>644020240513170615176127</v>
      </c>
      <c r="F3004" s="9"/>
    </row>
    <row r="3005" s="2" customFormat="1" ht="30" customHeight="1" spans="1:6">
      <c r="A3005" s="9">
        <v>3002</v>
      </c>
      <c r="B3005" s="10" t="s">
        <v>2825</v>
      </c>
      <c r="C3005" s="10" t="s">
        <v>2826</v>
      </c>
      <c r="D3005" s="10" t="s">
        <v>2960</v>
      </c>
      <c r="E3005" s="10" t="str">
        <f>"644020240513104754173584"</f>
        <v>644020240513104754173584</v>
      </c>
      <c r="F3005" s="9"/>
    </row>
    <row r="3006" s="2" customFormat="1" ht="30" customHeight="1" spans="1:6">
      <c r="A3006" s="9">
        <v>3003</v>
      </c>
      <c r="B3006" s="10" t="s">
        <v>2825</v>
      </c>
      <c r="C3006" s="10" t="s">
        <v>2826</v>
      </c>
      <c r="D3006" s="10" t="s">
        <v>2961</v>
      </c>
      <c r="E3006" s="10" t="str">
        <f>"644020240513093851172894"</f>
        <v>644020240513093851172894</v>
      </c>
      <c r="F3006" s="9"/>
    </row>
    <row r="3007" s="2" customFormat="1" ht="30" customHeight="1" spans="1:6">
      <c r="A3007" s="9">
        <v>3004</v>
      </c>
      <c r="B3007" s="10" t="s">
        <v>2825</v>
      </c>
      <c r="C3007" s="10" t="s">
        <v>2826</v>
      </c>
      <c r="D3007" s="10" t="s">
        <v>2962</v>
      </c>
      <c r="E3007" s="10" t="str">
        <f>"644020240513150226175205"</f>
        <v>644020240513150226175205</v>
      </c>
      <c r="F3007" s="9"/>
    </row>
    <row r="3008" s="2" customFormat="1" ht="30" customHeight="1" spans="1:6">
      <c r="A3008" s="9">
        <v>3005</v>
      </c>
      <c r="B3008" s="10" t="s">
        <v>2825</v>
      </c>
      <c r="C3008" s="10" t="s">
        <v>2826</v>
      </c>
      <c r="D3008" s="10" t="s">
        <v>2963</v>
      </c>
      <c r="E3008" s="10" t="str">
        <f>"644020240512164522170061"</f>
        <v>644020240512164522170061</v>
      </c>
      <c r="F3008" s="9"/>
    </row>
    <row r="3009" s="2" customFormat="1" ht="30" customHeight="1" spans="1:6">
      <c r="A3009" s="9">
        <v>3006</v>
      </c>
      <c r="B3009" s="10" t="s">
        <v>2825</v>
      </c>
      <c r="C3009" s="10" t="s">
        <v>2826</v>
      </c>
      <c r="D3009" s="10" t="s">
        <v>2964</v>
      </c>
      <c r="E3009" s="10" t="str">
        <f>"644020240513123037174300"</f>
        <v>644020240513123037174300</v>
      </c>
      <c r="F3009" s="9"/>
    </row>
    <row r="3010" s="2" customFormat="1" ht="30" customHeight="1" spans="1:6">
      <c r="A3010" s="9">
        <v>3007</v>
      </c>
      <c r="B3010" s="10" t="s">
        <v>2825</v>
      </c>
      <c r="C3010" s="10" t="s">
        <v>2826</v>
      </c>
      <c r="D3010" s="10" t="s">
        <v>2965</v>
      </c>
      <c r="E3010" s="10" t="str">
        <f>"644020240513093106172810"</f>
        <v>644020240513093106172810</v>
      </c>
      <c r="F3010" s="9"/>
    </row>
    <row r="3011" s="2" customFormat="1" ht="30" customHeight="1" spans="1:6">
      <c r="A3011" s="9">
        <v>3008</v>
      </c>
      <c r="B3011" s="10" t="s">
        <v>2825</v>
      </c>
      <c r="C3011" s="10" t="s">
        <v>2826</v>
      </c>
      <c r="D3011" s="10" t="s">
        <v>2966</v>
      </c>
      <c r="E3011" s="10" t="str">
        <f>"644020240513164457176021"</f>
        <v>644020240513164457176021</v>
      </c>
      <c r="F3011" s="9"/>
    </row>
    <row r="3012" s="2" customFormat="1" ht="30" customHeight="1" spans="1:6">
      <c r="A3012" s="9">
        <v>3009</v>
      </c>
      <c r="B3012" s="10" t="s">
        <v>2825</v>
      </c>
      <c r="C3012" s="10" t="s">
        <v>2826</v>
      </c>
      <c r="D3012" s="10" t="s">
        <v>2967</v>
      </c>
      <c r="E3012" s="10" t="str">
        <f>"644020240513162544175915"</f>
        <v>644020240513162544175915</v>
      </c>
      <c r="F3012" s="9"/>
    </row>
    <row r="3013" s="2" customFormat="1" ht="30" customHeight="1" spans="1:6">
      <c r="A3013" s="9">
        <v>3010</v>
      </c>
      <c r="B3013" s="10" t="s">
        <v>2825</v>
      </c>
      <c r="C3013" s="10" t="s">
        <v>2826</v>
      </c>
      <c r="D3013" s="10" t="s">
        <v>2968</v>
      </c>
      <c r="E3013" s="10" t="str">
        <f>"644020240512161245169926"</f>
        <v>644020240512161245169926</v>
      </c>
      <c r="F3013" s="9"/>
    </row>
    <row r="3014" s="2" customFormat="1" ht="30" customHeight="1" spans="1:6">
      <c r="A3014" s="9">
        <v>3011</v>
      </c>
      <c r="B3014" s="10" t="s">
        <v>2825</v>
      </c>
      <c r="C3014" s="10" t="s">
        <v>2826</v>
      </c>
      <c r="D3014" s="10" t="s">
        <v>2969</v>
      </c>
      <c r="E3014" s="10" t="str">
        <f>"644020240512095938168386"</f>
        <v>644020240512095938168386</v>
      </c>
      <c r="F3014" s="9"/>
    </row>
    <row r="3015" s="2" customFormat="1" ht="30" customHeight="1" spans="1:6">
      <c r="A3015" s="9">
        <v>3012</v>
      </c>
      <c r="B3015" s="10" t="s">
        <v>2825</v>
      </c>
      <c r="C3015" s="10" t="s">
        <v>2826</v>
      </c>
      <c r="D3015" s="10" t="s">
        <v>2970</v>
      </c>
      <c r="E3015" s="10" t="str">
        <f>"644020240513182813176422"</f>
        <v>644020240513182813176422</v>
      </c>
      <c r="F3015" s="9"/>
    </row>
    <row r="3016" s="2" customFormat="1" ht="30" customHeight="1" spans="1:6">
      <c r="A3016" s="9">
        <v>3013</v>
      </c>
      <c r="B3016" s="10" t="s">
        <v>2825</v>
      </c>
      <c r="C3016" s="10" t="s">
        <v>2826</v>
      </c>
      <c r="D3016" s="10" t="s">
        <v>2971</v>
      </c>
      <c r="E3016" s="10" t="str">
        <f>"644020240512190437170525"</f>
        <v>644020240512190437170525</v>
      </c>
      <c r="F3016" s="9"/>
    </row>
    <row r="3017" s="2" customFormat="1" ht="30" customHeight="1" spans="1:6">
      <c r="A3017" s="9">
        <v>3014</v>
      </c>
      <c r="B3017" s="10" t="s">
        <v>2825</v>
      </c>
      <c r="C3017" s="10" t="s">
        <v>2826</v>
      </c>
      <c r="D3017" s="10" t="s">
        <v>2972</v>
      </c>
      <c r="E3017" s="10" t="str">
        <f>"644020240513180314176356"</f>
        <v>644020240513180314176356</v>
      </c>
      <c r="F3017" s="9"/>
    </row>
    <row r="3018" s="2" customFormat="1" ht="30" customHeight="1" spans="1:6">
      <c r="A3018" s="9">
        <v>3015</v>
      </c>
      <c r="B3018" s="10" t="s">
        <v>2825</v>
      </c>
      <c r="C3018" s="10" t="s">
        <v>2826</v>
      </c>
      <c r="D3018" s="10" t="s">
        <v>2973</v>
      </c>
      <c r="E3018" s="10" t="str">
        <f>"644020240513154312175596"</f>
        <v>644020240513154312175596</v>
      </c>
      <c r="F3018" s="9"/>
    </row>
    <row r="3019" s="2" customFormat="1" ht="30" customHeight="1" spans="1:6">
      <c r="A3019" s="9">
        <v>3016</v>
      </c>
      <c r="B3019" s="10" t="s">
        <v>2825</v>
      </c>
      <c r="C3019" s="10" t="s">
        <v>2826</v>
      </c>
      <c r="D3019" s="10" t="s">
        <v>2974</v>
      </c>
      <c r="E3019" s="10" t="str">
        <f>"644020240512201646170781"</f>
        <v>644020240512201646170781</v>
      </c>
      <c r="F3019" s="9"/>
    </row>
    <row r="3020" s="2" customFormat="1" ht="30" customHeight="1" spans="1:6">
      <c r="A3020" s="9">
        <v>3017</v>
      </c>
      <c r="B3020" s="10" t="s">
        <v>2825</v>
      </c>
      <c r="C3020" s="10" t="s">
        <v>2826</v>
      </c>
      <c r="D3020" s="10" t="s">
        <v>2975</v>
      </c>
      <c r="E3020" s="10" t="str">
        <f>"644020240513183054176430"</f>
        <v>644020240513183054176430</v>
      </c>
      <c r="F3020" s="9"/>
    </row>
    <row r="3021" s="2" customFormat="1" ht="30" customHeight="1" spans="1:6">
      <c r="A3021" s="9">
        <v>3018</v>
      </c>
      <c r="B3021" s="10" t="s">
        <v>2825</v>
      </c>
      <c r="C3021" s="10" t="s">
        <v>2826</v>
      </c>
      <c r="D3021" s="10" t="s">
        <v>2976</v>
      </c>
      <c r="E3021" s="10" t="str">
        <f>"644020240513182632176418"</f>
        <v>644020240513182632176418</v>
      </c>
      <c r="F3021" s="9"/>
    </row>
    <row r="3022" s="2" customFormat="1" ht="30" customHeight="1" spans="1:6">
      <c r="A3022" s="9">
        <v>3019</v>
      </c>
      <c r="B3022" s="10" t="s">
        <v>2825</v>
      </c>
      <c r="C3022" s="10" t="s">
        <v>2826</v>
      </c>
      <c r="D3022" s="10" t="s">
        <v>2977</v>
      </c>
      <c r="E3022" s="10" t="str">
        <f>"644020240513094619172971"</f>
        <v>644020240513094619172971</v>
      </c>
      <c r="F3022" s="9"/>
    </row>
    <row r="3023" s="2" customFormat="1" ht="30" customHeight="1" spans="1:6">
      <c r="A3023" s="9">
        <v>3020</v>
      </c>
      <c r="B3023" s="10" t="s">
        <v>2825</v>
      </c>
      <c r="C3023" s="10" t="s">
        <v>2826</v>
      </c>
      <c r="D3023" s="10" t="s">
        <v>2978</v>
      </c>
      <c r="E3023" s="10" t="str">
        <f>"644020240513190740176537"</f>
        <v>644020240513190740176537</v>
      </c>
      <c r="F3023" s="9"/>
    </row>
    <row r="3024" s="2" customFormat="1" ht="30" customHeight="1" spans="1:6">
      <c r="A3024" s="9">
        <v>3021</v>
      </c>
      <c r="B3024" s="10" t="s">
        <v>2825</v>
      </c>
      <c r="C3024" s="10" t="s">
        <v>2826</v>
      </c>
      <c r="D3024" s="10" t="s">
        <v>2979</v>
      </c>
      <c r="E3024" s="10" t="str">
        <f>"644020240513192018176579"</f>
        <v>644020240513192018176579</v>
      </c>
      <c r="F3024" s="9"/>
    </row>
    <row r="3025" s="2" customFormat="1" ht="30" customHeight="1" spans="1:6">
      <c r="A3025" s="9">
        <v>3022</v>
      </c>
      <c r="B3025" s="10" t="s">
        <v>2825</v>
      </c>
      <c r="C3025" s="10" t="s">
        <v>2826</v>
      </c>
      <c r="D3025" s="10" t="s">
        <v>2980</v>
      </c>
      <c r="E3025" s="10" t="str">
        <f>"644020240513085143172431"</f>
        <v>644020240513085143172431</v>
      </c>
      <c r="F3025" s="9"/>
    </row>
    <row r="3026" s="2" customFormat="1" ht="30" customHeight="1" spans="1:6">
      <c r="A3026" s="9">
        <v>3023</v>
      </c>
      <c r="B3026" s="10" t="s">
        <v>2825</v>
      </c>
      <c r="C3026" s="10" t="s">
        <v>2826</v>
      </c>
      <c r="D3026" s="10" t="s">
        <v>2981</v>
      </c>
      <c r="E3026" s="10" t="str">
        <f>"644020240513154339175600"</f>
        <v>644020240513154339175600</v>
      </c>
      <c r="F3026" s="9"/>
    </row>
    <row r="3027" s="2" customFormat="1" ht="30" customHeight="1" spans="1:6">
      <c r="A3027" s="9">
        <v>3024</v>
      </c>
      <c r="B3027" s="10" t="s">
        <v>2825</v>
      </c>
      <c r="C3027" s="10" t="s">
        <v>2826</v>
      </c>
      <c r="D3027" s="10" t="s">
        <v>2982</v>
      </c>
      <c r="E3027" s="10" t="str">
        <f>"644020240513190434176526"</f>
        <v>644020240513190434176526</v>
      </c>
      <c r="F3027" s="9"/>
    </row>
    <row r="3028" s="2" customFormat="1" ht="30" customHeight="1" spans="1:6">
      <c r="A3028" s="9">
        <v>3025</v>
      </c>
      <c r="B3028" s="10" t="s">
        <v>2825</v>
      </c>
      <c r="C3028" s="10" t="s">
        <v>2826</v>
      </c>
      <c r="D3028" s="10" t="s">
        <v>2983</v>
      </c>
      <c r="E3028" s="10" t="str">
        <f>"644020240513191943176577"</f>
        <v>644020240513191943176577</v>
      </c>
      <c r="F3028" s="9"/>
    </row>
    <row r="3029" s="2" customFormat="1" ht="30" customHeight="1" spans="1:6">
      <c r="A3029" s="9">
        <v>3026</v>
      </c>
      <c r="B3029" s="10" t="s">
        <v>2825</v>
      </c>
      <c r="C3029" s="10" t="s">
        <v>2826</v>
      </c>
      <c r="D3029" s="10" t="s">
        <v>2984</v>
      </c>
      <c r="E3029" s="10" t="str">
        <f>"644020240513081748172240"</f>
        <v>644020240513081748172240</v>
      </c>
      <c r="F3029" s="9"/>
    </row>
    <row r="3030" s="2" customFormat="1" ht="30" customHeight="1" spans="1:6">
      <c r="A3030" s="9">
        <v>3027</v>
      </c>
      <c r="B3030" s="10" t="s">
        <v>2825</v>
      </c>
      <c r="C3030" s="10" t="s">
        <v>2826</v>
      </c>
      <c r="D3030" s="10" t="s">
        <v>2985</v>
      </c>
      <c r="E3030" s="10" t="str">
        <f>"644020240513090024172487"</f>
        <v>644020240513090024172487</v>
      </c>
      <c r="F3030" s="9"/>
    </row>
    <row r="3031" s="2" customFormat="1" ht="30" customHeight="1" spans="1:6">
      <c r="A3031" s="9">
        <v>3028</v>
      </c>
      <c r="B3031" s="10" t="s">
        <v>2825</v>
      </c>
      <c r="C3031" s="10" t="s">
        <v>2826</v>
      </c>
      <c r="D3031" s="10" t="s">
        <v>2986</v>
      </c>
      <c r="E3031" s="10" t="str">
        <f>"644020240512220821171372"</f>
        <v>644020240512220821171372</v>
      </c>
      <c r="F3031" s="9"/>
    </row>
    <row r="3032" s="2" customFormat="1" ht="30" customHeight="1" spans="1:6">
      <c r="A3032" s="9">
        <v>3029</v>
      </c>
      <c r="B3032" s="10" t="s">
        <v>2825</v>
      </c>
      <c r="C3032" s="10" t="s">
        <v>2826</v>
      </c>
      <c r="D3032" s="10" t="s">
        <v>2987</v>
      </c>
      <c r="E3032" s="10" t="str">
        <f>"644020240513094853173003"</f>
        <v>644020240513094853173003</v>
      </c>
      <c r="F3032" s="9"/>
    </row>
    <row r="3033" s="2" customFormat="1" ht="30" customHeight="1" spans="1:6">
      <c r="A3033" s="9">
        <v>3030</v>
      </c>
      <c r="B3033" s="10" t="s">
        <v>2825</v>
      </c>
      <c r="C3033" s="10" t="s">
        <v>2826</v>
      </c>
      <c r="D3033" s="10" t="s">
        <v>2988</v>
      </c>
      <c r="E3033" s="10" t="str">
        <f>"644020240513163606175972"</f>
        <v>644020240513163606175972</v>
      </c>
      <c r="F3033" s="9"/>
    </row>
    <row r="3034" s="2" customFormat="1" ht="30" customHeight="1" spans="1:6">
      <c r="A3034" s="9">
        <v>3031</v>
      </c>
      <c r="B3034" s="10" t="s">
        <v>2825</v>
      </c>
      <c r="C3034" s="10" t="s">
        <v>2826</v>
      </c>
      <c r="D3034" s="10" t="s">
        <v>127</v>
      </c>
      <c r="E3034" s="10" t="str">
        <f>"644020240513190112176514"</f>
        <v>644020240513190112176514</v>
      </c>
      <c r="F3034" s="9"/>
    </row>
    <row r="3035" s="2" customFormat="1" ht="30" customHeight="1" spans="1:6">
      <c r="A3035" s="9">
        <v>3032</v>
      </c>
      <c r="B3035" s="10" t="s">
        <v>2825</v>
      </c>
      <c r="C3035" s="10" t="s">
        <v>2826</v>
      </c>
      <c r="D3035" s="10" t="s">
        <v>2989</v>
      </c>
      <c r="E3035" s="10" t="str">
        <f>"644020240513211500177023"</f>
        <v>644020240513211500177023</v>
      </c>
      <c r="F3035" s="9"/>
    </row>
    <row r="3036" s="2" customFormat="1" ht="30" customHeight="1" spans="1:6">
      <c r="A3036" s="9">
        <v>3033</v>
      </c>
      <c r="B3036" s="10" t="s">
        <v>2825</v>
      </c>
      <c r="C3036" s="10" t="s">
        <v>2826</v>
      </c>
      <c r="D3036" s="10" t="s">
        <v>2990</v>
      </c>
      <c r="E3036" s="10" t="str">
        <f>"644020240513210527176979"</f>
        <v>644020240513210527176979</v>
      </c>
      <c r="F3036" s="9"/>
    </row>
    <row r="3037" s="2" customFormat="1" ht="30" customHeight="1" spans="1:6">
      <c r="A3037" s="9">
        <v>3034</v>
      </c>
      <c r="B3037" s="10" t="s">
        <v>2825</v>
      </c>
      <c r="C3037" s="10" t="s">
        <v>2826</v>
      </c>
      <c r="D3037" s="10" t="s">
        <v>2991</v>
      </c>
      <c r="E3037" s="10" t="str">
        <f>"644020240512175010170278"</f>
        <v>644020240512175010170278</v>
      </c>
      <c r="F3037" s="9"/>
    </row>
    <row r="3038" s="2" customFormat="1" ht="30" customHeight="1" spans="1:6">
      <c r="A3038" s="9">
        <v>3035</v>
      </c>
      <c r="B3038" s="10" t="s">
        <v>2825</v>
      </c>
      <c r="C3038" s="10" t="s">
        <v>2826</v>
      </c>
      <c r="D3038" s="10" t="s">
        <v>2992</v>
      </c>
      <c r="E3038" s="10" t="str">
        <f>"644020240513214512177146"</f>
        <v>644020240513214512177146</v>
      </c>
      <c r="F3038" s="9"/>
    </row>
    <row r="3039" s="2" customFormat="1" ht="30" customHeight="1" spans="1:6">
      <c r="A3039" s="9">
        <v>3036</v>
      </c>
      <c r="B3039" s="10" t="s">
        <v>2825</v>
      </c>
      <c r="C3039" s="10" t="s">
        <v>2826</v>
      </c>
      <c r="D3039" s="10" t="s">
        <v>2993</v>
      </c>
      <c r="E3039" s="10" t="str">
        <f>"644020240513151251175297"</f>
        <v>644020240513151251175297</v>
      </c>
      <c r="F3039" s="9"/>
    </row>
    <row r="3040" s="2" customFormat="1" ht="30" customHeight="1" spans="1:6">
      <c r="A3040" s="9">
        <v>3037</v>
      </c>
      <c r="B3040" s="10" t="s">
        <v>2825</v>
      </c>
      <c r="C3040" s="10" t="s">
        <v>2826</v>
      </c>
      <c r="D3040" s="10" t="s">
        <v>2994</v>
      </c>
      <c r="E3040" s="10" t="str">
        <f>"644020240513173527176255"</f>
        <v>644020240513173527176255</v>
      </c>
      <c r="F3040" s="9"/>
    </row>
    <row r="3041" s="2" customFormat="1" ht="30" customHeight="1" spans="1:6">
      <c r="A3041" s="9">
        <v>3038</v>
      </c>
      <c r="B3041" s="10" t="s">
        <v>2825</v>
      </c>
      <c r="C3041" s="10" t="s">
        <v>2826</v>
      </c>
      <c r="D3041" s="10" t="s">
        <v>2995</v>
      </c>
      <c r="E3041" s="10" t="str">
        <f>"644020240512192729170597"</f>
        <v>644020240512192729170597</v>
      </c>
      <c r="F3041" s="9"/>
    </row>
    <row r="3042" s="2" customFormat="1" ht="30" customHeight="1" spans="1:6">
      <c r="A3042" s="9">
        <v>3039</v>
      </c>
      <c r="B3042" s="10" t="s">
        <v>2825</v>
      </c>
      <c r="C3042" s="10" t="s">
        <v>2826</v>
      </c>
      <c r="D3042" s="10" t="s">
        <v>2996</v>
      </c>
      <c r="E3042" s="10" t="str">
        <f>"644020240512204349170905"</f>
        <v>644020240512204349170905</v>
      </c>
      <c r="F3042" s="9"/>
    </row>
    <row r="3043" s="2" customFormat="1" ht="30" customHeight="1" spans="1:6">
      <c r="A3043" s="9">
        <v>3040</v>
      </c>
      <c r="B3043" s="10" t="s">
        <v>2825</v>
      </c>
      <c r="C3043" s="10" t="s">
        <v>2826</v>
      </c>
      <c r="D3043" s="10" t="s">
        <v>2997</v>
      </c>
      <c r="E3043" s="10" t="str">
        <f>"644020240513221918177322"</f>
        <v>644020240513221918177322</v>
      </c>
      <c r="F3043" s="9"/>
    </row>
    <row r="3044" s="2" customFormat="1" ht="30" customHeight="1" spans="1:6">
      <c r="A3044" s="9">
        <v>3041</v>
      </c>
      <c r="B3044" s="10" t="s">
        <v>2825</v>
      </c>
      <c r="C3044" s="10" t="s">
        <v>2826</v>
      </c>
      <c r="D3044" s="10" t="s">
        <v>2998</v>
      </c>
      <c r="E3044" s="10" t="str">
        <f>"644020240513211841177041"</f>
        <v>644020240513211841177041</v>
      </c>
      <c r="F3044" s="9"/>
    </row>
    <row r="3045" s="2" customFormat="1" ht="30" customHeight="1" spans="1:6">
      <c r="A3045" s="9">
        <v>3042</v>
      </c>
      <c r="B3045" s="10" t="s">
        <v>2825</v>
      </c>
      <c r="C3045" s="10" t="s">
        <v>2826</v>
      </c>
      <c r="D3045" s="10" t="s">
        <v>2999</v>
      </c>
      <c r="E3045" s="10" t="str">
        <f>"644020240513164437176018"</f>
        <v>644020240513164437176018</v>
      </c>
      <c r="F3045" s="9"/>
    </row>
    <row r="3046" s="2" customFormat="1" ht="30" customHeight="1" spans="1:6">
      <c r="A3046" s="9">
        <v>3043</v>
      </c>
      <c r="B3046" s="10" t="s">
        <v>2825</v>
      </c>
      <c r="C3046" s="10" t="s">
        <v>2826</v>
      </c>
      <c r="D3046" s="10" t="s">
        <v>3000</v>
      </c>
      <c r="E3046" s="10" t="str">
        <f>"644020240513183935176450"</f>
        <v>644020240513183935176450</v>
      </c>
      <c r="F3046" s="9"/>
    </row>
    <row r="3047" s="2" customFormat="1" ht="30" customHeight="1" spans="1:6">
      <c r="A3047" s="9">
        <v>3044</v>
      </c>
      <c r="B3047" s="10" t="s">
        <v>2825</v>
      </c>
      <c r="C3047" s="10" t="s">
        <v>2826</v>
      </c>
      <c r="D3047" s="10" t="s">
        <v>3001</v>
      </c>
      <c r="E3047" s="10" t="str">
        <f>"644020240513230436177511"</f>
        <v>644020240513230436177511</v>
      </c>
      <c r="F3047" s="9"/>
    </row>
    <row r="3048" s="2" customFormat="1" ht="30" customHeight="1" spans="1:6">
      <c r="A3048" s="9">
        <v>3045</v>
      </c>
      <c r="B3048" s="10" t="s">
        <v>2825</v>
      </c>
      <c r="C3048" s="10" t="s">
        <v>2826</v>
      </c>
      <c r="D3048" s="10" t="s">
        <v>3002</v>
      </c>
      <c r="E3048" s="10" t="str">
        <f>"644020240514012428177732"</f>
        <v>644020240514012428177732</v>
      </c>
      <c r="F3048" s="9"/>
    </row>
    <row r="3049" s="2" customFormat="1" ht="30" customHeight="1" spans="1:6">
      <c r="A3049" s="9">
        <v>3046</v>
      </c>
      <c r="B3049" s="10" t="s">
        <v>2825</v>
      </c>
      <c r="C3049" s="10" t="s">
        <v>2826</v>
      </c>
      <c r="D3049" s="10" t="s">
        <v>3003</v>
      </c>
      <c r="E3049" s="10" t="str">
        <f>"644020240514015303177745"</f>
        <v>644020240514015303177745</v>
      </c>
      <c r="F3049" s="9"/>
    </row>
    <row r="3050" s="2" customFormat="1" ht="30" customHeight="1" spans="1:6">
      <c r="A3050" s="9">
        <v>3047</v>
      </c>
      <c r="B3050" s="10" t="s">
        <v>2825</v>
      </c>
      <c r="C3050" s="10" t="s">
        <v>2826</v>
      </c>
      <c r="D3050" s="10" t="s">
        <v>3004</v>
      </c>
      <c r="E3050" s="10" t="str">
        <f>"644020240513101820173292"</f>
        <v>644020240513101820173292</v>
      </c>
      <c r="F3050" s="9"/>
    </row>
    <row r="3051" s="2" customFormat="1" ht="30" customHeight="1" spans="1:6">
      <c r="A3051" s="9">
        <v>3048</v>
      </c>
      <c r="B3051" s="10" t="s">
        <v>2825</v>
      </c>
      <c r="C3051" s="10" t="s">
        <v>2826</v>
      </c>
      <c r="D3051" s="10" t="s">
        <v>3005</v>
      </c>
      <c r="E3051" s="10" t="str">
        <f>"644020240513215141177179"</f>
        <v>644020240513215141177179</v>
      </c>
      <c r="F3051" s="9"/>
    </row>
    <row r="3052" s="2" customFormat="1" ht="30" customHeight="1" spans="1:6">
      <c r="A3052" s="9">
        <v>3049</v>
      </c>
      <c r="B3052" s="10" t="s">
        <v>2825</v>
      </c>
      <c r="C3052" s="10" t="s">
        <v>2826</v>
      </c>
      <c r="D3052" s="10" t="s">
        <v>3006</v>
      </c>
      <c r="E3052" s="10" t="str">
        <f>"644020240514085941177957"</f>
        <v>644020240514085941177957</v>
      </c>
      <c r="F3052" s="9"/>
    </row>
    <row r="3053" s="2" customFormat="1" ht="30" customHeight="1" spans="1:6">
      <c r="A3053" s="9">
        <v>3050</v>
      </c>
      <c r="B3053" s="10" t="s">
        <v>2825</v>
      </c>
      <c r="C3053" s="10" t="s">
        <v>2826</v>
      </c>
      <c r="D3053" s="10" t="s">
        <v>3007</v>
      </c>
      <c r="E3053" s="10" t="str">
        <f>"644020240512202656170823"</f>
        <v>644020240512202656170823</v>
      </c>
      <c r="F3053" s="9"/>
    </row>
    <row r="3054" s="2" customFormat="1" ht="30" customHeight="1" spans="1:6">
      <c r="A3054" s="9">
        <v>3051</v>
      </c>
      <c r="B3054" s="10" t="s">
        <v>2825</v>
      </c>
      <c r="C3054" s="10" t="s">
        <v>2826</v>
      </c>
      <c r="D3054" s="10" t="s">
        <v>3008</v>
      </c>
      <c r="E3054" s="10" t="str">
        <f>"644020240513101106173220"</f>
        <v>644020240513101106173220</v>
      </c>
      <c r="F3054" s="9"/>
    </row>
    <row r="3055" s="2" customFormat="1" ht="30" customHeight="1" spans="1:6">
      <c r="A3055" s="9">
        <v>3052</v>
      </c>
      <c r="B3055" s="10" t="s">
        <v>2825</v>
      </c>
      <c r="C3055" s="10" t="s">
        <v>2826</v>
      </c>
      <c r="D3055" s="10" t="s">
        <v>3009</v>
      </c>
      <c r="E3055" s="10" t="str">
        <f>"644020240512171359170153"</f>
        <v>644020240512171359170153</v>
      </c>
      <c r="F3055" s="9"/>
    </row>
    <row r="3056" s="2" customFormat="1" ht="30" customHeight="1" spans="1:6">
      <c r="A3056" s="9">
        <v>3053</v>
      </c>
      <c r="B3056" s="10" t="s">
        <v>2825</v>
      </c>
      <c r="C3056" s="10" t="s">
        <v>2826</v>
      </c>
      <c r="D3056" s="10" t="s">
        <v>3010</v>
      </c>
      <c r="E3056" s="10" t="str">
        <f>"644020240514092139178075"</f>
        <v>644020240514092139178075</v>
      </c>
      <c r="F3056" s="9"/>
    </row>
    <row r="3057" s="2" customFormat="1" ht="30" customHeight="1" spans="1:6">
      <c r="A3057" s="9">
        <v>3054</v>
      </c>
      <c r="B3057" s="10" t="s">
        <v>2825</v>
      </c>
      <c r="C3057" s="10" t="s">
        <v>2826</v>
      </c>
      <c r="D3057" s="10" t="s">
        <v>3011</v>
      </c>
      <c r="E3057" s="10" t="str">
        <f>"644020240514085833177949"</f>
        <v>644020240514085833177949</v>
      </c>
      <c r="F3057" s="9"/>
    </row>
    <row r="3058" s="2" customFormat="1" ht="30" customHeight="1" spans="1:6">
      <c r="A3058" s="9">
        <v>3055</v>
      </c>
      <c r="B3058" s="10" t="s">
        <v>2825</v>
      </c>
      <c r="C3058" s="10" t="s">
        <v>2826</v>
      </c>
      <c r="D3058" s="10" t="s">
        <v>3012</v>
      </c>
      <c r="E3058" s="10" t="str">
        <f>"644020240514093710178145"</f>
        <v>644020240514093710178145</v>
      </c>
      <c r="F3058" s="9"/>
    </row>
    <row r="3059" s="2" customFormat="1" ht="30" customHeight="1" spans="1:6">
      <c r="A3059" s="9">
        <v>3056</v>
      </c>
      <c r="B3059" s="10" t="s">
        <v>2825</v>
      </c>
      <c r="C3059" s="10" t="s">
        <v>2826</v>
      </c>
      <c r="D3059" s="10" t="s">
        <v>3013</v>
      </c>
      <c r="E3059" s="10" t="str">
        <f>"644020240514095953178265"</f>
        <v>644020240514095953178265</v>
      </c>
      <c r="F3059" s="9"/>
    </row>
    <row r="3060" s="2" customFormat="1" ht="30" customHeight="1" spans="1:6">
      <c r="A3060" s="9">
        <v>3057</v>
      </c>
      <c r="B3060" s="10" t="s">
        <v>2825</v>
      </c>
      <c r="C3060" s="10" t="s">
        <v>2826</v>
      </c>
      <c r="D3060" s="10" t="s">
        <v>3014</v>
      </c>
      <c r="E3060" s="10" t="str">
        <f>"644020240513112802173946"</f>
        <v>644020240513112802173946</v>
      </c>
      <c r="F3060" s="9"/>
    </row>
    <row r="3061" s="2" customFormat="1" ht="30" customHeight="1" spans="1:6">
      <c r="A3061" s="9">
        <v>3058</v>
      </c>
      <c r="B3061" s="10" t="s">
        <v>2825</v>
      </c>
      <c r="C3061" s="10" t="s">
        <v>2826</v>
      </c>
      <c r="D3061" s="10" t="s">
        <v>3015</v>
      </c>
      <c r="E3061" s="10" t="str">
        <f>"644020240513162647175923"</f>
        <v>644020240513162647175923</v>
      </c>
      <c r="F3061" s="9"/>
    </row>
    <row r="3062" s="2" customFormat="1" ht="30" customHeight="1" spans="1:6">
      <c r="A3062" s="9">
        <v>3059</v>
      </c>
      <c r="B3062" s="10" t="s">
        <v>2825</v>
      </c>
      <c r="C3062" s="10" t="s">
        <v>2826</v>
      </c>
      <c r="D3062" s="10" t="s">
        <v>3016</v>
      </c>
      <c r="E3062" s="10" t="str">
        <f>"644020240513190943176548"</f>
        <v>644020240513190943176548</v>
      </c>
      <c r="F3062" s="9"/>
    </row>
    <row r="3063" s="2" customFormat="1" ht="30" customHeight="1" spans="1:6">
      <c r="A3063" s="9">
        <v>3060</v>
      </c>
      <c r="B3063" s="10" t="s">
        <v>2825</v>
      </c>
      <c r="C3063" s="10" t="s">
        <v>2826</v>
      </c>
      <c r="D3063" s="10" t="s">
        <v>3017</v>
      </c>
      <c r="E3063" s="10" t="str">
        <f>"644020240513180120176351"</f>
        <v>644020240513180120176351</v>
      </c>
      <c r="F3063" s="9"/>
    </row>
    <row r="3064" s="2" customFormat="1" ht="30" customHeight="1" spans="1:6">
      <c r="A3064" s="9">
        <v>3061</v>
      </c>
      <c r="B3064" s="10" t="s">
        <v>2825</v>
      </c>
      <c r="C3064" s="10" t="s">
        <v>2826</v>
      </c>
      <c r="D3064" s="10" t="s">
        <v>3018</v>
      </c>
      <c r="E3064" s="10" t="str">
        <f>"644020240514085757177944"</f>
        <v>644020240514085757177944</v>
      </c>
      <c r="F3064" s="9"/>
    </row>
    <row r="3065" s="2" customFormat="1" ht="30" customHeight="1" spans="1:6">
      <c r="A3065" s="9">
        <v>3062</v>
      </c>
      <c r="B3065" s="10" t="s">
        <v>2825</v>
      </c>
      <c r="C3065" s="10" t="s">
        <v>2826</v>
      </c>
      <c r="D3065" s="10" t="s">
        <v>3019</v>
      </c>
      <c r="E3065" s="10" t="str">
        <f>"644020240514110840178632"</f>
        <v>644020240514110840178632</v>
      </c>
      <c r="F3065" s="9"/>
    </row>
    <row r="3066" s="2" customFormat="1" ht="30" customHeight="1" spans="1:6">
      <c r="A3066" s="9">
        <v>3063</v>
      </c>
      <c r="B3066" s="10" t="s">
        <v>2825</v>
      </c>
      <c r="C3066" s="10" t="s">
        <v>2826</v>
      </c>
      <c r="D3066" s="10" t="s">
        <v>3020</v>
      </c>
      <c r="E3066" s="10" t="str">
        <f>"644020240512133008169364"</f>
        <v>644020240512133008169364</v>
      </c>
      <c r="F3066" s="9"/>
    </row>
    <row r="3067" s="2" customFormat="1" ht="30" customHeight="1" spans="1:6">
      <c r="A3067" s="9">
        <v>3064</v>
      </c>
      <c r="B3067" s="10" t="s">
        <v>2825</v>
      </c>
      <c r="C3067" s="10" t="s">
        <v>2826</v>
      </c>
      <c r="D3067" s="10" t="s">
        <v>3021</v>
      </c>
      <c r="E3067" s="10" t="str">
        <f>"644020240514111415178652"</f>
        <v>644020240514111415178652</v>
      </c>
      <c r="F3067" s="9"/>
    </row>
    <row r="3068" s="2" customFormat="1" ht="30" customHeight="1" spans="1:6">
      <c r="A3068" s="9">
        <v>3065</v>
      </c>
      <c r="B3068" s="10" t="s">
        <v>2825</v>
      </c>
      <c r="C3068" s="10" t="s">
        <v>2826</v>
      </c>
      <c r="D3068" s="10" t="s">
        <v>3022</v>
      </c>
      <c r="E3068" s="10" t="str">
        <f>"644020240513073819172156"</f>
        <v>644020240513073819172156</v>
      </c>
      <c r="F3068" s="9"/>
    </row>
    <row r="3069" s="2" customFormat="1" ht="30" customHeight="1" spans="1:6">
      <c r="A3069" s="9">
        <v>3066</v>
      </c>
      <c r="B3069" s="10" t="s">
        <v>2825</v>
      </c>
      <c r="C3069" s="10" t="s">
        <v>2826</v>
      </c>
      <c r="D3069" s="10" t="s">
        <v>3023</v>
      </c>
      <c r="E3069" s="10" t="str">
        <f>"644020240512095649168364"</f>
        <v>644020240512095649168364</v>
      </c>
      <c r="F3069" s="9"/>
    </row>
    <row r="3070" s="2" customFormat="1" ht="30" customHeight="1" spans="1:6">
      <c r="A3070" s="9">
        <v>3067</v>
      </c>
      <c r="B3070" s="10" t="s">
        <v>2825</v>
      </c>
      <c r="C3070" s="10" t="s">
        <v>2826</v>
      </c>
      <c r="D3070" s="10" t="s">
        <v>3024</v>
      </c>
      <c r="E3070" s="10" t="str">
        <f>"644020240514112736178708"</f>
        <v>644020240514112736178708</v>
      </c>
      <c r="F3070" s="9"/>
    </row>
    <row r="3071" s="2" customFormat="1" ht="30" customHeight="1" spans="1:6">
      <c r="A3071" s="9">
        <v>3068</v>
      </c>
      <c r="B3071" s="10" t="s">
        <v>2825</v>
      </c>
      <c r="C3071" s="10" t="s">
        <v>2826</v>
      </c>
      <c r="D3071" s="10" t="s">
        <v>3025</v>
      </c>
      <c r="E3071" s="10" t="str">
        <f>"644020240513212704177075"</f>
        <v>644020240513212704177075</v>
      </c>
      <c r="F3071" s="9"/>
    </row>
    <row r="3072" s="2" customFormat="1" ht="30" customHeight="1" spans="1:6">
      <c r="A3072" s="9">
        <v>3069</v>
      </c>
      <c r="B3072" s="10" t="s">
        <v>2825</v>
      </c>
      <c r="C3072" s="10" t="s">
        <v>2826</v>
      </c>
      <c r="D3072" s="10" t="s">
        <v>3026</v>
      </c>
      <c r="E3072" s="10" t="str">
        <f>"644020240514111523178656"</f>
        <v>644020240514111523178656</v>
      </c>
      <c r="F3072" s="9"/>
    </row>
    <row r="3073" s="2" customFormat="1" ht="30" customHeight="1" spans="1:6">
      <c r="A3073" s="9">
        <v>3070</v>
      </c>
      <c r="B3073" s="10" t="s">
        <v>2825</v>
      </c>
      <c r="C3073" s="10" t="s">
        <v>2826</v>
      </c>
      <c r="D3073" s="10" t="s">
        <v>3027</v>
      </c>
      <c r="E3073" s="10" t="str">
        <f>"644020240513110543173745"</f>
        <v>644020240513110543173745</v>
      </c>
      <c r="F3073" s="9"/>
    </row>
    <row r="3074" s="2" customFormat="1" ht="30" customHeight="1" spans="1:6">
      <c r="A3074" s="9">
        <v>3071</v>
      </c>
      <c r="B3074" s="10" t="s">
        <v>2825</v>
      </c>
      <c r="C3074" s="10" t="s">
        <v>2826</v>
      </c>
      <c r="D3074" s="10" t="s">
        <v>3028</v>
      </c>
      <c r="E3074" s="10" t="str">
        <f>"644020240513194313176667"</f>
        <v>644020240513194313176667</v>
      </c>
      <c r="F3074" s="9"/>
    </row>
    <row r="3075" s="2" customFormat="1" ht="30" customHeight="1" spans="1:6">
      <c r="A3075" s="9">
        <v>3072</v>
      </c>
      <c r="B3075" s="10" t="s">
        <v>2825</v>
      </c>
      <c r="C3075" s="10" t="s">
        <v>2826</v>
      </c>
      <c r="D3075" s="10" t="s">
        <v>3029</v>
      </c>
      <c r="E3075" s="10" t="str">
        <f>"644020240513224405177420"</f>
        <v>644020240513224405177420</v>
      </c>
      <c r="F3075" s="9"/>
    </row>
    <row r="3076" s="2" customFormat="1" ht="30" customHeight="1" spans="1:6">
      <c r="A3076" s="9">
        <v>3073</v>
      </c>
      <c r="B3076" s="10" t="s">
        <v>2825</v>
      </c>
      <c r="C3076" s="10" t="s">
        <v>2826</v>
      </c>
      <c r="D3076" s="10" t="s">
        <v>3030</v>
      </c>
      <c r="E3076" s="10" t="str">
        <f>"644020240514075728177802"</f>
        <v>644020240514075728177802</v>
      </c>
      <c r="F3076" s="9"/>
    </row>
    <row r="3077" s="2" customFormat="1" ht="30" customHeight="1" spans="1:6">
      <c r="A3077" s="9">
        <v>3074</v>
      </c>
      <c r="B3077" s="10" t="s">
        <v>2825</v>
      </c>
      <c r="C3077" s="10" t="s">
        <v>2826</v>
      </c>
      <c r="D3077" s="10" t="s">
        <v>3031</v>
      </c>
      <c r="E3077" s="10" t="str">
        <f>"644020240513094928173009"</f>
        <v>644020240513094928173009</v>
      </c>
      <c r="F3077" s="9"/>
    </row>
    <row r="3078" s="2" customFormat="1" ht="30" customHeight="1" spans="1:6">
      <c r="A3078" s="9">
        <v>3075</v>
      </c>
      <c r="B3078" s="10" t="s">
        <v>2825</v>
      </c>
      <c r="C3078" s="10" t="s">
        <v>2826</v>
      </c>
      <c r="D3078" s="10" t="s">
        <v>3032</v>
      </c>
      <c r="E3078" s="10" t="str">
        <f>"644020240514124405178925"</f>
        <v>644020240514124405178925</v>
      </c>
      <c r="F3078" s="9"/>
    </row>
    <row r="3079" s="2" customFormat="1" ht="30" customHeight="1" spans="1:6">
      <c r="A3079" s="9">
        <v>3076</v>
      </c>
      <c r="B3079" s="10" t="s">
        <v>2825</v>
      </c>
      <c r="C3079" s="10" t="s">
        <v>2826</v>
      </c>
      <c r="D3079" s="10" t="s">
        <v>3033</v>
      </c>
      <c r="E3079" s="10" t="str">
        <f>"644020240513133739174698"</f>
        <v>644020240513133739174698</v>
      </c>
      <c r="F3079" s="9"/>
    </row>
    <row r="3080" s="2" customFormat="1" ht="30" customHeight="1" spans="1:6">
      <c r="A3080" s="9">
        <v>3077</v>
      </c>
      <c r="B3080" s="10" t="s">
        <v>2825</v>
      </c>
      <c r="C3080" s="10" t="s">
        <v>2826</v>
      </c>
      <c r="D3080" s="10" t="s">
        <v>3034</v>
      </c>
      <c r="E3080" s="10" t="str">
        <f>"644020240514130513178972"</f>
        <v>644020240514130513178972</v>
      </c>
      <c r="F3080" s="9"/>
    </row>
    <row r="3081" s="2" customFormat="1" ht="30" customHeight="1" spans="1:6">
      <c r="A3081" s="9">
        <v>3078</v>
      </c>
      <c r="B3081" s="10" t="s">
        <v>2825</v>
      </c>
      <c r="C3081" s="10" t="s">
        <v>2826</v>
      </c>
      <c r="D3081" s="10" t="s">
        <v>3035</v>
      </c>
      <c r="E3081" s="10" t="str">
        <f>"644020240513221219177286"</f>
        <v>644020240513221219177286</v>
      </c>
      <c r="F3081" s="9"/>
    </row>
    <row r="3082" s="2" customFormat="1" ht="30" customHeight="1" spans="1:6">
      <c r="A3082" s="9">
        <v>3079</v>
      </c>
      <c r="B3082" s="10" t="s">
        <v>2825</v>
      </c>
      <c r="C3082" s="10" t="s">
        <v>2826</v>
      </c>
      <c r="D3082" s="10" t="s">
        <v>3036</v>
      </c>
      <c r="E3082" s="10" t="str">
        <f>"644020240514131347178992"</f>
        <v>644020240514131347178992</v>
      </c>
      <c r="F3082" s="9"/>
    </row>
    <row r="3083" s="2" customFormat="1" ht="30" customHeight="1" spans="1:6">
      <c r="A3083" s="9">
        <v>3080</v>
      </c>
      <c r="B3083" s="10" t="s">
        <v>2825</v>
      </c>
      <c r="C3083" s="10" t="s">
        <v>2826</v>
      </c>
      <c r="D3083" s="10" t="s">
        <v>3037</v>
      </c>
      <c r="E3083" s="10" t="str">
        <f>"644020240514110200178607"</f>
        <v>644020240514110200178607</v>
      </c>
      <c r="F3083" s="9"/>
    </row>
    <row r="3084" s="2" customFormat="1" ht="30" customHeight="1" spans="1:6">
      <c r="A3084" s="9">
        <v>3081</v>
      </c>
      <c r="B3084" s="10" t="s">
        <v>2825</v>
      </c>
      <c r="C3084" s="10" t="s">
        <v>2826</v>
      </c>
      <c r="D3084" s="10" t="s">
        <v>3038</v>
      </c>
      <c r="E3084" s="10" t="str">
        <f>"644020240514133359179034"</f>
        <v>644020240514133359179034</v>
      </c>
      <c r="F3084" s="9"/>
    </row>
    <row r="3085" s="2" customFormat="1" ht="30" customHeight="1" spans="1:6">
      <c r="A3085" s="9">
        <v>3082</v>
      </c>
      <c r="B3085" s="10" t="s">
        <v>2825</v>
      </c>
      <c r="C3085" s="10" t="s">
        <v>2826</v>
      </c>
      <c r="D3085" s="10" t="s">
        <v>3039</v>
      </c>
      <c r="E3085" s="10" t="str">
        <f>"644020240512113229168895"</f>
        <v>644020240512113229168895</v>
      </c>
      <c r="F3085" s="9"/>
    </row>
    <row r="3086" s="2" customFormat="1" ht="30" customHeight="1" spans="1:6">
      <c r="A3086" s="9">
        <v>3083</v>
      </c>
      <c r="B3086" s="10" t="s">
        <v>2825</v>
      </c>
      <c r="C3086" s="10" t="s">
        <v>2826</v>
      </c>
      <c r="D3086" s="10" t="s">
        <v>3040</v>
      </c>
      <c r="E3086" s="10" t="str">
        <f>"644020240513140802174829"</f>
        <v>644020240513140802174829</v>
      </c>
      <c r="F3086" s="9"/>
    </row>
    <row r="3087" s="2" customFormat="1" ht="30" customHeight="1" spans="1:6">
      <c r="A3087" s="9">
        <v>3084</v>
      </c>
      <c r="B3087" s="10" t="s">
        <v>2825</v>
      </c>
      <c r="C3087" s="10" t="s">
        <v>2826</v>
      </c>
      <c r="D3087" s="10" t="s">
        <v>3041</v>
      </c>
      <c r="E3087" s="10" t="str">
        <f>"644020240512134821169427"</f>
        <v>644020240512134821169427</v>
      </c>
      <c r="F3087" s="9"/>
    </row>
    <row r="3088" s="2" customFormat="1" ht="30" customHeight="1" spans="1:6">
      <c r="A3088" s="9">
        <v>3085</v>
      </c>
      <c r="B3088" s="10" t="s">
        <v>2825</v>
      </c>
      <c r="C3088" s="10" t="s">
        <v>2826</v>
      </c>
      <c r="D3088" s="10" t="s">
        <v>3042</v>
      </c>
      <c r="E3088" s="10" t="str">
        <f>"644020240513173441176250"</f>
        <v>644020240513173441176250</v>
      </c>
      <c r="F3088" s="9"/>
    </row>
    <row r="3089" s="2" customFormat="1" ht="30" customHeight="1" spans="1:6">
      <c r="A3089" s="9">
        <v>3086</v>
      </c>
      <c r="B3089" s="10" t="s">
        <v>2825</v>
      </c>
      <c r="C3089" s="10" t="s">
        <v>2826</v>
      </c>
      <c r="D3089" s="10" t="s">
        <v>3043</v>
      </c>
      <c r="E3089" s="10" t="str">
        <f>"644020240513133123174667"</f>
        <v>644020240513133123174667</v>
      </c>
      <c r="F3089" s="9"/>
    </row>
    <row r="3090" s="2" customFormat="1" ht="30" customHeight="1" spans="1:6">
      <c r="A3090" s="9">
        <v>3087</v>
      </c>
      <c r="B3090" s="10" t="s">
        <v>2825</v>
      </c>
      <c r="C3090" s="10" t="s">
        <v>2826</v>
      </c>
      <c r="D3090" s="10" t="s">
        <v>3044</v>
      </c>
      <c r="E3090" s="10" t="str">
        <f>"644020240512132159169329"</f>
        <v>644020240512132159169329</v>
      </c>
      <c r="F3090" s="9"/>
    </row>
    <row r="3091" s="2" customFormat="1" ht="30" customHeight="1" spans="1:6">
      <c r="A3091" s="9">
        <v>3088</v>
      </c>
      <c r="B3091" s="10" t="s">
        <v>2825</v>
      </c>
      <c r="C3091" s="10" t="s">
        <v>2826</v>
      </c>
      <c r="D3091" s="10" t="s">
        <v>3045</v>
      </c>
      <c r="E3091" s="10" t="str">
        <f>"644020240514114819178792"</f>
        <v>644020240514114819178792</v>
      </c>
      <c r="F3091" s="9"/>
    </row>
    <row r="3092" s="2" customFormat="1" ht="30" customHeight="1" spans="1:6">
      <c r="A3092" s="9">
        <v>3089</v>
      </c>
      <c r="B3092" s="10" t="s">
        <v>2825</v>
      </c>
      <c r="C3092" s="10" t="s">
        <v>2826</v>
      </c>
      <c r="D3092" s="10" t="s">
        <v>3046</v>
      </c>
      <c r="E3092" s="10" t="str">
        <f>"644020240514104243178511"</f>
        <v>644020240514104243178511</v>
      </c>
      <c r="F3092" s="9"/>
    </row>
    <row r="3093" s="2" customFormat="1" ht="30" customHeight="1" spans="1:6">
      <c r="A3093" s="9">
        <v>3090</v>
      </c>
      <c r="B3093" s="10" t="s">
        <v>2825</v>
      </c>
      <c r="C3093" s="10" t="s">
        <v>2826</v>
      </c>
      <c r="D3093" s="10" t="s">
        <v>3047</v>
      </c>
      <c r="E3093" s="10" t="str">
        <f>"644020240512150941169684"</f>
        <v>644020240512150941169684</v>
      </c>
      <c r="F3093" s="9"/>
    </row>
    <row r="3094" s="2" customFormat="1" ht="30" customHeight="1" spans="1:6">
      <c r="A3094" s="9">
        <v>3091</v>
      </c>
      <c r="B3094" s="10" t="s">
        <v>2825</v>
      </c>
      <c r="C3094" s="10" t="s">
        <v>2826</v>
      </c>
      <c r="D3094" s="10" t="s">
        <v>3048</v>
      </c>
      <c r="E3094" s="10" t="str">
        <f>"644020240514152222179270"</f>
        <v>644020240514152222179270</v>
      </c>
      <c r="F3094" s="9"/>
    </row>
    <row r="3095" s="2" customFormat="1" ht="30" customHeight="1" spans="1:6">
      <c r="A3095" s="9">
        <v>3092</v>
      </c>
      <c r="B3095" s="10" t="s">
        <v>2825</v>
      </c>
      <c r="C3095" s="10" t="s">
        <v>2826</v>
      </c>
      <c r="D3095" s="10" t="s">
        <v>3049</v>
      </c>
      <c r="E3095" s="10" t="str">
        <f>"644020240514152813179289"</f>
        <v>644020240514152813179289</v>
      </c>
      <c r="F3095" s="9"/>
    </row>
    <row r="3096" s="2" customFormat="1" ht="30" customHeight="1" spans="1:6">
      <c r="A3096" s="9">
        <v>3093</v>
      </c>
      <c r="B3096" s="10" t="s">
        <v>2825</v>
      </c>
      <c r="C3096" s="10" t="s">
        <v>2826</v>
      </c>
      <c r="D3096" s="10" t="s">
        <v>3050</v>
      </c>
      <c r="E3096" s="10" t="str">
        <f>"644020240514153202179306"</f>
        <v>644020240514153202179306</v>
      </c>
      <c r="F3096" s="9"/>
    </row>
    <row r="3097" s="2" customFormat="1" ht="30" customHeight="1" spans="1:6">
      <c r="A3097" s="9">
        <v>3094</v>
      </c>
      <c r="B3097" s="10" t="s">
        <v>2825</v>
      </c>
      <c r="C3097" s="10" t="s">
        <v>2826</v>
      </c>
      <c r="D3097" s="10" t="s">
        <v>3051</v>
      </c>
      <c r="E3097" s="10" t="str">
        <f>"644020240514113306178738"</f>
        <v>644020240514113306178738</v>
      </c>
      <c r="F3097" s="9"/>
    </row>
    <row r="3098" s="2" customFormat="1" ht="30" customHeight="1" spans="1:6">
      <c r="A3098" s="9">
        <v>3095</v>
      </c>
      <c r="B3098" s="10" t="s">
        <v>2825</v>
      </c>
      <c r="C3098" s="10" t="s">
        <v>2826</v>
      </c>
      <c r="D3098" s="10" t="s">
        <v>3052</v>
      </c>
      <c r="E3098" s="10" t="str">
        <f>"644020240513074551172169"</f>
        <v>644020240513074551172169</v>
      </c>
      <c r="F3098" s="9"/>
    </row>
    <row r="3099" s="2" customFormat="1" ht="30" customHeight="1" spans="1:6">
      <c r="A3099" s="9">
        <v>3096</v>
      </c>
      <c r="B3099" s="10" t="s">
        <v>2825</v>
      </c>
      <c r="C3099" s="10" t="s">
        <v>2826</v>
      </c>
      <c r="D3099" s="10" t="s">
        <v>3053</v>
      </c>
      <c r="E3099" s="10" t="str">
        <f>"644020240513091808172679"</f>
        <v>644020240513091808172679</v>
      </c>
      <c r="F3099" s="9"/>
    </row>
    <row r="3100" s="2" customFormat="1" ht="30" customHeight="1" spans="1:6">
      <c r="A3100" s="9">
        <v>3097</v>
      </c>
      <c r="B3100" s="10" t="s">
        <v>2825</v>
      </c>
      <c r="C3100" s="10" t="s">
        <v>2826</v>
      </c>
      <c r="D3100" s="10" t="s">
        <v>3054</v>
      </c>
      <c r="E3100" s="10" t="str">
        <f>"644020240513144001175032"</f>
        <v>644020240513144001175032</v>
      </c>
      <c r="F3100" s="9"/>
    </row>
    <row r="3101" s="2" customFormat="1" ht="30" customHeight="1" spans="1:6">
      <c r="A3101" s="9">
        <v>3098</v>
      </c>
      <c r="B3101" s="10" t="s">
        <v>2825</v>
      </c>
      <c r="C3101" s="10" t="s">
        <v>2826</v>
      </c>
      <c r="D3101" s="10" t="s">
        <v>3055</v>
      </c>
      <c r="E3101" s="10" t="str">
        <f>"644020240513225105177456"</f>
        <v>644020240513225105177456</v>
      </c>
      <c r="F3101" s="9"/>
    </row>
    <row r="3102" s="2" customFormat="1" ht="30" customHeight="1" spans="1:6">
      <c r="A3102" s="9">
        <v>3099</v>
      </c>
      <c r="B3102" s="10" t="s">
        <v>2825</v>
      </c>
      <c r="C3102" s="10" t="s">
        <v>2826</v>
      </c>
      <c r="D3102" s="10" t="s">
        <v>3056</v>
      </c>
      <c r="E3102" s="10" t="str">
        <f>"644020240513111321173813"</f>
        <v>644020240513111321173813</v>
      </c>
      <c r="F3102" s="9"/>
    </row>
    <row r="3103" s="2" customFormat="1" ht="30" customHeight="1" spans="1:6">
      <c r="A3103" s="9">
        <v>3100</v>
      </c>
      <c r="B3103" s="10" t="s">
        <v>2825</v>
      </c>
      <c r="C3103" s="10" t="s">
        <v>2826</v>
      </c>
      <c r="D3103" s="10" t="s">
        <v>3057</v>
      </c>
      <c r="E3103" s="10" t="str">
        <f>"644020240513041040172081"</f>
        <v>644020240513041040172081</v>
      </c>
      <c r="F3103" s="9"/>
    </row>
    <row r="3104" s="2" customFormat="1" ht="30" customHeight="1" spans="1:6">
      <c r="A3104" s="9">
        <v>3101</v>
      </c>
      <c r="B3104" s="10" t="s">
        <v>2825</v>
      </c>
      <c r="C3104" s="10" t="s">
        <v>2826</v>
      </c>
      <c r="D3104" s="10" t="s">
        <v>3058</v>
      </c>
      <c r="E3104" s="10" t="str">
        <f>"644020240513120758174177"</f>
        <v>644020240513120758174177</v>
      </c>
      <c r="F3104" s="9"/>
    </row>
    <row r="3105" s="2" customFormat="1" ht="30" customHeight="1" spans="1:6">
      <c r="A3105" s="9">
        <v>3102</v>
      </c>
      <c r="B3105" s="10" t="s">
        <v>2825</v>
      </c>
      <c r="C3105" s="10" t="s">
        <v>2826</v>
      </c>
      <c r="D3105" s="10" t="s">
        <v>3059</v>
      </c>
      <c r="E3105" s="10" t="str">
        <f>"644020240513070343172125"</f>
        <v>644020240513070343172125</v>
      </c>
      <c r="F3105" s="9"/>
    </row>
    <row r="3106" s="2" customFormat="1" ht="30" customHeight="1" spans="1:6">
      <c r="A3106" s="9">
        <v>3103</v>
      </c>
      <c r="B3106" s="10" t="s">
        <v>2825</v>
      </c>
      <c r="C3106" s="10" t="s">
        <v>2826</v>
      </c>
      <c r="D3106" s="10" t="s">
        <v>3060</v>
      </c>
      <c r="E3106" s="10" t="str">
        <f>"644020240514170431179623"</f>
        <v>644020240514170431179623</v>
      </c>
      <c r="F3106" s="9"/>
    </row>
    <row r="3107" s="2" customFormat="1" ht="30" customHeight="1" spans="1:6">
      <c r="A3107" s="9">
        <v>3104</v>
      </c>
      <c r="B3107" s="10" t="s">
        <v>2825</v>
      </c>
      <c r="C3107" s="10" t="s">
        <v>2826</v>
      </c>
      <c r="D3107" s="10" t="s">
        <v>3061</v>
      </c>
      <c r="E3107" s="10" t="str">
        <f>"644020240514171150179651"</f>
        <v>644020240514171150179651</v>
      </c>
      <c r="F3107" s="9"/>
    </row>
    <row r="3108" s="2" customFormat="1" ht="30" customHeight="1" spans="1:6">
      <c r="A3108" s="9">
        <v>3105</v>
      </c>
      <c r="B3108" s="10" t="s">
        <v>2825</v>
      </c>
      <c r="C3108" s="10" t="s">
        <v>2826</v>
      </c>
      <c r="D3108" s="10" t="s">
        <v>3062</v>
      </c>
      <c r="E3108" s="10" t="str">
        <f>"644020240514151005179237"</f>
        <v>644020240514151005179237</v>
      </c>
      <c r="F3108" s="9"/>
    </row>
    <row r="3109" s="2" customFormat="1" ht="30" customHeight="1" spans="1:6">
      <c r="A3109" s="9">
        <v>3106</v>
      </c>
      <c r="B3109" s="10" t="s">
        <v>2825</v>
      </c>
      <c r="C3109" s="10" t="s">
        <v>2826</v>
      </c>
      <c r="D3109" s="10" t="s">
        <v>3063</v>
      </c>
      <c r="E3109" s="10" t="str">
        <f>"644020240514171112179648"</f>
        <v>644020240514171112179648</v>
      </c>
      <c r="F3109" s="9"/>
    </row>
    <row r="3110" s="2" customFormat="1" ht="30" customHeight="1" spans="1:6">
      <c r="A3110" s="9">
        <v>3107</v>
      </c>
      <c r="B3110" s="10" t="s">
        <v>2825</v>
      </c>
      <c r="C3110" s="10" t="s">
        <v>2826</v>
      </c>
      <c r="D3110" s="10" t="s">
        <v>3064</v>
      </c>
      <c r="E3110" s="10" t="str">
        <f>"644020240513154722175642"</f>
        <v>644020240513154722175642</v>
      </c>
      <c r="F3110" s="9"/>
    </row>
    <row r="3111" s="2" customFormat="1" ht="30" customHeight="1" spans="1:6">
      <c r="A3111" s="9">
        <v>3108</v>
      </c>
      <c r="B3111" s="10" t="s">
        <v>2825</v>
      </c>
      <c r="C3111" s="10" t="s">
        <v>2826</v>
      </c>
      <c r="D3111" s="10" t="s">
        <v>3065</v>
      </c>
      <c r="E3111" s="10" t="str">
        <f>"644020240513202008176792"</f>
        <v>644020240513202008176792</v>
      </c>
      <c r="F3111" s="9"/>
    </row>
    <row r="3112" s="2" customFormat="1" ht="30" customHeight="1" spans="1:6">
      <c r="A3112" s="9">
        <v>3109</v>
      </c>
      <c r="B3112" s="10" t="s">
        <v>2825</v>
      </c>
      <c r="C3112" s="10" t="s">
        <v>2826</v>
      </c>
      <c r="D3112" s="10" t="s">
        <v>3066</v>
      </c>
      <c r="E3112" s="10" t="str">
        <f>"644020240513003325171993"</f>
        <v>644020240513003325171993</v>
      </c>
      <c r="F3112" s="9"/>
    </row>
    <row r="3113" s="2" customFormat="1" ht="30" customHeight="1" spans="1:6">
      <c r="A3113" s="9">
        <v>3110</v>
      </c>
      <c r="B3113" s="10" t="s">
        <v>2825</v>
      </c>
      <c r="C3113" s="10" t="s">
        <v>2826</v>
      </c>
      <c r="D3113" s="10" t="s">
        <v>3067</v>
      </c>
      <c r="E3113" s="10" t="str">
        <f>"644020240514164042179538"</f>
        <v>644020240514164042179538</v>
      </c>
      <c r="F3113" s="9"/>
    </row>
    <row r="3114" s="2" customFormat="1" ht="30" customHeight="1" spans="1:6">
      <c r="A3114" s="9">
        <v>3111</v>
      </c>
      <c r="B3114" s="10" t="s">
        <v>2825</v>
      </c>
      <c r="C3114" s="10" t="s">
        <v>2826</v>
      </c>
      <c r="D3114" s="10" t="s">
        <v>3068</v>
      </c>
      <c r="E3114" s="10" t="str">
        <f>"644020240512151015169687"</f>
        <v>644020240512151015169687</v>
      </c>
      <c r="F3114" s="9"/>
    </row>
    <row r="3115" s="2" customFormat="1" ht="30" customHeight="1" spans="1:6">
      <c r="A3115" s="9">
        <v>3112</v>
      </c>
      <c r="B3115" s="10" t="s">
        <v>2825</v>
      </c>
      <c r="C3115" s="10" t="s">
        <v>2826</v>
      </c>
      <c r="D3115" s="10" t="s">
        <v>3069</v>
      </c>
      <c r="E3115" s="10" t="str">
        <f>"644020240514151708179252"</f>
        <v>644020240514151708179252</v>
      </c>
      <c r="F3115" s="9"/>
    </row>
    <row r="3116" s="2" customFormat="1" ht="30" customHeight="1" spans="1:6">
      <c r="A3116" s="9">
        <v>3113</v>
      </c>
      <c r="B3116" s="10" t="s">
        <v>2825</v>
      </c>
      <c r="C3116" s="10" t="s">
        <v>2826</v>
      </c>
      <c r="D3116" s="10" t="s">
        <v>3070</v>
      </c>
      <c r="E3116" s="10" t="str">
        <f>"644020240514085607177938"</f>
        <v>644020240514085607177938</v>
      </c>
      <c r="F3116" s="9"/>
    </row>
    <row r="3117" s="2" customFormat="1" ht="30" customHeight="1" spans="1:6">
      <c r="A3117" s="9">
        <v>3114</v>
      </c>
      <c r="B3117" s="10" t="s">
        <v>2825</v>
      </c>
      <c r="C3117" s="10" t="s">
        <v>2826</v>
      </c>
      <c r="D3117" s="10" t="s">
        <v>3071</v>
      </c>
      <c r="E3117" s="10" t="str">
        <f>"644020240514182636179826"</f>
        <v>644020240514182636179826</v>
      </c>
      <c r="F3117" s="9"/>
    </row>
    <row r="3118" s="2" customFormat="1" ht="30" customHeight="1" spans="1:6">
      <c r="A3118" s="9">
        <v>3115</v>
      </c>
      <c r="B3118" s="10" t="s">
        <v>2825</v>
      </c>
      <c r="C3118" s="10" t="s">
        <v>2826</v>
      </c>
      <c r="D3118" s="10" t="s">
        <v>3072</v>
      </c>
      <c r="E3118" s="10" t="str">
        <f>"644020240513153752175542"</f>
        <v>644020240513153752175542</v>
      </c>
      <c r="F3118" s="9"/>
    </row>
    <row r="3119" s="2" customFormat="1" ht="30" customHeight="1" spans="1:6">
      <c r="A3119" s="9">
        <v>3116</v>
      </c>
      <c r="B3119" s="10" t="s">
        <v>2825</v>
      </c>
      <c r="C3119" s="10" t="s">
        <v>2826</v>
      </c>
      <c r="D3119" s="10" t="s">
        <v>3073</v>
      </c>
      <c r="E3119" s="10" t="str">
        <f>"644020240514172225179687"</f>
        <v>644020240514172225179687</v>
      </c>
      <c r="F3119" s="9"/>
    </row>
    <row r="3120" s="2" customFormat="1" ht="30" customHeight="1" spans="1:6">
      <c r="A3120" s="9">
        <v>3117</v>
      </c>
      <c r="B3120" s="10" t="s">
        <v>2825</v>
      </c>
      <c r="C3120" s="10" t="s">
        <v>2826</v>
      </c>
      <c r="D3120" s="10" t="s">
        <v>3074</v>
      </c>
      <c r="E3120" s="10" t="str">
        <f>"644020240514184308179852"</f>
        <v>644020240514184308179852</v>
      </c>
      <c r="F3120" s="9"/>
    </row>
    <row r="3121" s="2" customFormat="1" ht="30" customHeight="1" spans="1:6">
      <c r="A3121" s="9">
        <v>3118</v>
      </c>
      <c r="B3121" s="10" t="s">
        <v>2825</v>
      </c>
      <c r="C3121" s="10" t="s">
        <v>2826</v>
      </c>
      <c r="D3121" s="10" t="s">
        <v>3075</v>
      </c>
      <c r="E3121" s="10" t="str">
        <f>"644020240514130742178978"</f>
        <v>644020240514130742178978</v>
      </c>
      <c r="F3121" s="9"/>
    </row>
    <row r="3122" s="2" customFormat="1" ht="30" customHeight="1" spans="1:6">
      <c r="A3122" s="9">
        <v>3119</v>
      </c>
      <c r="B3122" s="10" t="s">
        <v>2825</v>
      </c>
      <c r="C3122" s="10" t="s">
        <v>2826</v>
      </c>
      <c r="D3122" s="10" t="s">
        <v>3076</v>
      </c>
      <c r="E3122" s="10" t="str">
        <f>"644020240514185315179875"</f>
        <v>644020240514185315179875</v>
      </c>
      <c r="F3122" s="9"/>
    </row>
    <row r="3123" s="2" customFormat="1" ht="30" customHeight="1" spans="1:6">
      <c r="A3123" s="9">
        <v>3120</v>
      </c>
      <c r="B3123" s="10" t="s">
        <v>2825</v>
      </c>
      <c r="C3123" s="10" t="s">
        <v>2826</v>
      </c>
      <c r="D3123" s="10" t="s">
        <v>3077</v>
      </c>
      <c r="E3123" s="10" t="str">
        <f>"644020240513205120176922"</f>
        <v>644020240513205120176922</v>
      </c>
      <c r="F3123" s="9"/>
    </row>
    <row r="3124" s="2" customFormat="1" ht="30" customHeight="1" spans="1:6">
      <c r="A3124" s="9">
        <v>3121</v>
      </c>
      <c r="B3124" s="10" t="s">
        <v>2825</v>
      </c>
      <c r="C3124" s="10" t="s">
        <v>2826</v>
      </c>
      <c r="D3124" s="10" t="s">
        <v>3078</v>
      </c>
      <c r="E3124" s="10" t="str">
        <f>"644020240514193456179935"</f>
        <v>644020240514193456179935</v>
      </c>
      <c r="F3124" s="9"/>
    </row>
    <row r="3125" s="2" customFormat="1" ht="30" customHeight="1" spans="1:6">
      <c r="A3125" s="9">
        <v>3122</v>
      </c>
      <c r="B3125" s="10" t="s">
        <v>2825</v>
      </c>
      <c r="C3125" s="10" t="s">
        <v>2826</v>
      </c>
      <c r="D3125" s="10" t="s">
        <v>3079</v>
      </c>
      <c r="E3125" s="10" t="str">
        <f>"644020240514160855179422"</f>
        <v>644020240514160855179422</v>
      </c>
      <c r="F3125" s="9"/>
    </row>
    <row r="3126" s="2" customFormat="1" ht="30" customHeight="1" spans="1:6">
      <c r="A3126" s="9">
        <v>3123</v>
      </c>
      <c r="B3126" s="10" t="s">
        <v>2825</v>
      </c>
      <c r="C3126" s="10" t="s">
        <v>2826</v>
      </c>
      <c r="D3126" s="10" t="s">
        <v>3080</v>
      </c>
      <c r="E3126" s="10" t="str">
        <f>"644020240514201851180021"</f>
        <v>644020240514201851180021</v>
      </c>
      <c r="F3126" s="9"/>
    </row>
    <row r="3127" s="2" customFormat="1" ht="30" customHeight="1" spans="1:6">
      <c r="A3127" s="9">
        <v>3124</v>
      </c>
      <c r="B3127" s="10" t="s">
        <v>2825</v>
      </c>
      <c r="C3127" s="10" t="s">
        <v>2826</v>
      </c>
      <c r="D3127" s="10" t="s">
        <v>3081</v>
      </c>
      <c r="E3127" s="10" t="str">
        <f>"644020240513193952176652"</f>
        <v>644020240513193952176652</v>
      </c>
      <c r="F3127" s="9"/>
    </row>
    <row r="3128" s="2" customFormat="1" ht="30" customHeight="1" spans="1:6">
      <c r="A3128" s="9">
        <v>3125</v>
      </c>
      <c r="B3128" s="10" t="s">
        <v>2825</v>
      </c>
      <c r="C3128" s="10" t="s">
        <v>2826</v>
      </c>
      <c r="D3128" s="10" t="s">
        <v>3082</v>
      </c>
      <c r="E3128" s="10" t="str">
        <f>"644020240514204150180047"</f>
        <v>644020240514204150180047</v>
      </c>
      <c r="F3128" s="9"/>
    </row>
    <row r="3129" s="2" customFormat="1" ht="30" customHeight="1" spans="1:6">
      <c r="A3129" s="9">
        <v>3126</v>
      </c>
      <c r="B3129" s="10" t="s">
        <v>2825</v>
      </c>
      <c r="C3129" s="10" t="s">
        <v>2826</v>
      </c>
      <c r="D3129" s="10" t="s">
        <v>3083</v>
      </c>
      <c r="E3129" s="10" t="str">
        <f>"644020240514165418179587"</f>
        <v>644020240514165418179587</v>
      </c>
      <c r="F3129" s="9"/>
    </row>
    <row r="3130" s="2" customFormat="1" ht="30" customHeight="1" spans="1:6">
      <c r="A3130" s="9">
        <v>3127</v>
      </c>
      <c r="B3130" s="10" t="s">
        <v>2825</v>
      </c>
      <c r="C3130" s="10" t="s">
        <v>2826</v>
      </c>
      <c r="D3130" s="10" t="s">
        <v>3084</v>
      </c>
      <c r="E3130" s="10" t="str">
        <f>"644020240513193605176641"</f>
        <v>644020240513193605176641</v>
      </c>
      <c r="F3130" s="9"/>
    </row>
    <row r="3131" s="2" customFormat="1" ht="30" customHeight="1" spans="1:6">
      <c r="A3131" s="9">
        <v>3128</v>
      </c>
      <c r="B3131" s="10" t="s">
        <v>2825</v>
      </c>
      <c r="C3131" s="10" t="s">
        <v>2826</v>
      </c>
      <c r="D3131" s="10" t="s">
        <v>3085</v>
      </c>
      <c r="E3131" s="10" t="str">
        <f>"644020240514121643178867"</f>
        <v>644020240514121643178867</v>
      </c>
      <c r="F3131" s="9"/>
    </row>
    <row r="3132" s="2" customFormat="1" ht="30" customHeight="1" spans="1:6">
      <c r="A3132" s="9">
        <v>3129</v>
      </c>
      <c r="B3132" s="10" t="s">
        <v>2825</v>
      </c>
      <c r="C3132" s="10" t="s">
        <v>2826</v>
      </c>
      <c r="D3132" s="10" t="s">
        <v>3086</v>
      </c>
      <c r="E3132" s="10" t="str">
        <f>"644020240512153033169763"</f>
        <v>644020240512153033169763</v>
      </c>
      <c r="F3132" s="9"/>
    </row>
    <row r="3133" s="2" customFormat="1" ht="30" customHeight="1" spans="1:6">
      <c r="A3133" s="9">
        <v>3130</v>
      </c>
      <c r="B3133" s="10" t="s">
        <v>2825</v>
      </c>
      <c r="C3133" s="10" t="s">
        <v>2826</v>
      </c>
      <c r="D3133" s="10" t="s">
        <v>3087</v>
      </c>
      <c r="E3133" s="10" t="str">
        <f>"644020240514140944179094"</f>
        <v>644020240514140944179094</v>
      </c>
      <c r="F3133" s="9"/>
    </row>
    <row r="3134" s="2" customFormat="1" ht="30" customHeight="1" spans="1:6">
      <c r="A3134" s="9">
        <v>3131</v>
      </c>
      <c r="B3134" s="10" t="s">
        <v>2825</v>
      </c>
      <c r="C3134" s="10" t="s">
        <v>2826</v>
      </c>
      <c r="D3134" s="10" t="s">
        <v>3088</v>
      </c>
      <c r="E3134" s="10" t="str">
        <f>"644020240514204225180051"</f>
        <v>644020240514204225180051</v>
      </c>
      <c r="F3134" s="9"/>
    </row>
    <row r="3135" s="2" customFormat="1" ht="30" customHeight="1" spans="1:6">
      <c r="A3135" s="9">
        <v>3132</v>
      </c>
      <c r="B3135" s="10" t="s">
        <v>2825</v>
      </c>
      <c r="C3135" s="10" t="s">
        <v>2826</v>
      </c>
      <c r="D3135" s="10" t="s">
        <v>3089</v>
      </c>
      <c r="E3135" s="10" t="str">
        <f>"644020240514205656180101"</f>
        <v>644020240514205656180101</v>
      </c>
      <c r="F3135" s="9"/>
    </row>
    <row r="3136" s="2" customFormat="1" ht="30" customHeight="1" spans="1:6">
      <c r="A3136" s="9">
        <v>3133</v>
      </c>
      <c r="B3136" s="10" t="s">
        <v>2825</v>
      </c>
      <c r="C3136" s="10" t="s">
        <v>2826</v>
      </c>
      <c r="D3136" s="10" t="s">
        <v>3090</v>
      </c>
      <c r="E3136" s="10" t="str">
        <f>"644020240514210400180122"</f>
        <v>644020240514210400180122</v>
      </c>
      <c r="F3136" s="9"/>
    </row>
    <row r="3137" s="2" customFormat="1" ht="30" customHeight="1" spans="1:6">
      <c r="A3137" s="9">
        <v>3134</v>
      </c>
      <c r="B3137" s="10" t="s">
        <v>2825</v>
      </c>
      <c r="C3137" s="10" t="s">
        <v>2826</v>
      </c>
      <c r="D3137" s="10" t="s">
        <v>3091</v>
      </c>
      <c r="E3137" s="10" t="str">
        <f>"644020240514212609180194"</f>
        <v>644020240514212609180194</v>
      </c>
      <c r="F3137" s="9"/>
    </row>
    <row r="3138" s="2" customFormat="1" ht="30" customHeight="1" spans="1:6">
      <c r="A3138" s="9">
        <v>3135</v>
      </c>
      <c r="B3138" s="10" t="s">
        <v>2825</v>
      </c>
      <c r="C3138" s="10" t="s">
        <v>2826</v>
      </c>
      <c r="D3138" s="10" t="s">
        <v>3092</v>
      </c>
      <c r="E3138" s="10" t="str">
        <f>"644020240514205852180107"</f>
        <v>644020240514205852180107</v>
      </c>
      <c r="F3138" s="9"/>
    </row>
    <row r="3139" s="2" customFormat="1" ht="30" customHeight="1" spans="1:6">
      <c r="A3139" s="9">
        <v>3136</v>
      </c>
      <c r="B3139" s="10" t="s">
        <v>2825</v>
      </c>
      <c r="C3139" s="10" t="s">
        <v>2826</v>
      </c>
      <c r="D3139" s="10" t="s">
        <v>3093</v>
      </c>
      <c r="E3139" s="10" t="str">
        <f>"644020240513143426174998"</f>
        <v>644020240513143426174998</v>
      </c>
      <c r="F3139" s="9"/>
    </row>
    <row r="3140" s="2" customFormat="1" ht="30" customHeight="1" spans="1:6">
      <c r="A3140" s="9">
        <v>3137</v>
      </c>
      <c r="B3140" s="10" t="s">
        <v>2825</v>
      </c>
      <c r="C3140" s="10" t="s">
        <v>2826</v>
      </c>
      <c r="D3140" s="10" t="s">
        <v>3094</v>
      </c>
      <c r="E3140" s="10" t="str">
        <f>"644020240514215512180276"</f>
        <v>644020240514215512180276</v>
      </c>
      <c r="F3140" s="9"/>
    </row>
    <row r="3141" s="2" customFormat="1" ht="30" customHeight="1" spans="1:6">
      <c r="A3141" s="9">
        <v>3138</v>
      </c>
      <c r="B3141" s="10" t="s">
        <v>2825</v>
      </c>
      <c r="C3141" s="10" t="s">
        <v>2826</v>
      </c>
      <c r="D3141" s="10" t="s">
        <v>3095</v>
      </c>
      <c r="E3141" s="10" t="str">
        <f>"644020240513221449177299"</f>
        <v>644020240513221449177299</v>
      </c>
      <c r="F3141" s="9"/>
    </row>
    <row r="3142" s="2" customFormat="1" ht="30" customHeight="1" spans="1:6">
      <c r="A3142" s="9">
        <v>3139</v>
      </c>
      <c r="B3142" s="10" t="s">
        <v>2825</v>
      </c>
      <c r="C3142" s="10" t="s">
        <v>2826</v>
      </c>
      <c r="D3142" s="10" t="s">
        <v>3096</v>
      </c>
      <c r="E3142" s="10" t="str">
        <f>"644020240514205728180103"</f>
        <v>644020240514205728180103</v>
      </c>
      <c r="F3142" s="9"/>
    </row>
    <row r="3143" s="2" customFormat="1" ht="30" customHeight="1" spans="1:6">
      <c r="A3143" s="9">
        <v>3140</v>
      </c>
      <c r="B3143" s="10" t="s">
        <v>2825</v>
      </c>
      <c r="C3143" s="10" t="s">
        <v>2826</v>
      </c>
      <c r="D3143" s="10" t="s">
        <v>3097</v>
      </c>
      <c r="E3143" s="10" t="str">
        <f>"644020240514212445180186"</f>
        <v>644020240514212445180186</v>
      </c>
      <c r="F3143" s="9"/>
    </row>
    <row r="3144" s="2" customFormat="1" ht="30" customHeight="1" spans="1:6">
      <c r="A3144" s="9">
        <v>3141</v>
      </c>
      <c r="B3144" s="10" t="s">
        <v>2825</v>
      </c>
      <c r="C3144" s="10" t="s">
        <v>2826</v>
      </c>
      <c r="D3144" s="10" t="s">
        <v>3098</v>
      </c>
      <c r="E3144" s="10" t="str">
        <f>"644020240513224426177424"</f>
        <v>644020240513224426177424</v>
      </c>
      <c r="F3144" s="9"/>
    </row>
    <row r="3145" s="2" customFormat="1" ht="30" customHeight="1" spans="1:6">
      <c r="A3145" s="9">
        <v>3142</v>
      </c>
      <c r="B3145" s="10" t="s">
        <v>2825</v>
      </c>
      <c r="C3145" s="10" t="s">
        <v>2826</v>
      </c>
      <c r="D3145" s="10" t="s">
        <v>3099</v>
      </c>
      <c r="E3145" s="10" t="str">
        <f>"644020240512130910169275"</f>
        <v>644020240512130910169275</v>
      </c>
      <c r="F3145" s="9"/>
    </row>
    <row r="3146" s="2" customFormat="1" ht="30" customHeight="1" spans="1:6">
      <c r="A3146" s="9">
        <v>3143</v>
      </c>
      <c r="B3146" s="10" t="s">
        <v>2825</v>
      </c>
      <c r="C3146" s="10" t="s">
        <v>2826</v>
      </c>
      <c r="D3146" s="10" t="s">
        <v>3100</v>
      </c>
      <c r="E3146" s="10" t="str">
        <f>"644020240513205130176923"</f>
        <v>644020240513205130176923</v>
      </c>
      <c r="F3146" s="9"/>
    </row>
    <row r="3147" s="2" customFormat="1" ht="30" customHeight="1" spans="1:6">
      <c r="A3147" s="9">
        <v>3144</v>
      </c>
      <c r="B3147" s="10" t="s">
        <v>2825</v>
      </c>
      <c r="C3147" s="10" t="s">
        <v>2826</v>
      </c>
      <c r="D3147" s="10" t="s">
        <v>3101</v>
      </c>
      <c r="E3147" s="10" t="str">
        <f>"644020240513151329175310"</f>
        <v>644020240513151329175310</v>
      </c>
      <c r="F3147" s="9"/>
    </row>
    <row r="3148" s="2" customFormat="1" ht="30" customHeight="1" spans="1:6">
      <c r="A3148" s="9">
        <v>3145</v>
      </c>
      <c r="B3148" s="10" t="s">
        <v>2825</v>
      </c>
      <c r="C3148" s="10" t="s">
        <v>2826</v>
      </c>
      <c r="D3148" s="10" t="s">
        <v>3102</v>
      </c>
      <c r="E3148" s="10" t="str">
        <f>"644020240514221114180323"</f>
        <v>644020240514221114180323</v>
      </c>
      <c r="F3148" s="9"/>
    </row>
    <row r="3149" s="2" customFormat="1" ht="30" customHeight="1" spans="1:6">
      <c r="A3149" s="9">
        <v>3146</v>
      </c>
      <c r="B3149" s="10" t="s">
        <v>2825</v>
      </c>
      <c r="C3149" s="10" t="s">
        <v>2826</v>
      </c>
      <c r="D3149" s="10" t="s">
        <v>3103</v>
      </c>
      <c r="E3149" s="10" t="str">
        <f>"644020240514223055180381"</f>
        <v>644020240514223055180381</v>
      </c>
      <c r="F3149" s="9"/>
    </row>
    <row r="3150" s="2" customFormat="1" ht="30" customHeight="1" spans="1:6">
      <c r="A3150" s="9">
        <v>3147</v>
      </c>
      <c r="B3150" s="10" t="s">
        <v>2825</v>
      </c>
      <c r="C3150" s="10" t="s">
        <v>2826</v>
      </c>
      <c r="D3150" s="10" t="s">
        <v>3104</v>
      </c>
      <c r="E3150" s="10" t="str">
        <f>"644020240514114020178763"</f>
        <v>644020240514114020178763</v>
      </c>
      <c r="F3150" s="9"/>
    </row>
    <row r="3151" s="2" customFormat="1" ht="30" customHeight="1" spans="1:6">
      <c r="A3151" s="9">
        <v>3148</v>
      </c>
      <c r="B3151" s="10" t="s">
        <v>2825</v>
      </c>
      <c r="C3151" s="10" t="s">
        <v>2826</v>
      </c>
      <c r="D3151" s="10" t="s">
        <v>3105</v>
      </c>
      <c r="E3151" s="10" t="str">
        <f>"644020240514093908178156"</f>
        <v>644020240514093908178156</v>
      </c>
      <c r="F3151" s="9"/>
    </row>
    <row r="3152" s="2" customFormat="1" ht="30" customHeight="1" spans="1:6">
      <c r="A3152" s="9">
        <v>3149</v>
      </c>
      <c r="B3152" s="10" t="s">
        <v>2825</v>
      </c>
      <c r="C3152" s="10" t="s">
        <v>2826</v>
      </c>
      <c r="D3152" s="10" t="s">
        <v>3106</v>
      </c>
      <c r="E3152" s="10" t="str">
        <f>"644020240514230002180454"</f>
        <v>644020240514230002180454</v>
      </c>
      <c r="F3152" s="9"/>
    </row>
    <row r="3153" s="2" customFormat="1" ht="30" customHeight="1" spans="1:6">
      <c r="A3153" s="9">
        <v>3150</v>
      </c>
      <c r="B3153" s="10" t="s">
        <v>2825</v>
      </c>
      <c r="C3153" s="10" t="s">
        <v>2826</v>
      </c>
      <c r="D3153" s="10" t="s">
        <v>3107</v>
      </c>
      <c r="E3153" s="10" t="str">
        <f>"644020240514224957180428"</f>
        <v>644020240514224957180428</v>
      </c>
      <c r="F3153" s="9"/>
    </row>
    <row r="3154" s="2" customFormat="1" ht="30" customHeight="1" spans="1:6">
      <c r="A3154" s="9">
        <v>3151</v>
      </c>
      <c r="B3154" s="10" t="s">
        <v>2825</v>
      </c>
      <c r="C3154" s="10" t="s">
        <v>2826</v>
      </c>
      <c r="D3154" s="10" t="s">
        <v>3108</v>
      </c>
      <c r="E3154" s="10" t="str">
        <f>"644020240514225508180445"</f>
        <v>644020240514225508180445</v>
      </c>
      <c r="F3154" s="9"/>
    </row>
    <row r="3155" s="2" customFormat="1" ht="30" customHeight="1" spans="1:6">
      <c r="A3155" s="9">
        <v>3152</v>
      </c>
      <c r="B3155" s="10" t="s">
        <v>2825</v>
      </c>
      <c r="C3155" s="10" t="s">
        <v>2826</v>
      </c>
      <c r="D3155" s="10" t="s">
        <v>3109</v>
      </c>
      <c r="E3155" s="10" t="str">
        <f>"644020240513233116177585"</f>
        <v>644020240513233116177585</v>
      </c>
      <c r="F3155" s="9"/>
    </row>
    <row r="3156" s="2" customFormat="1" ht="30" customHeight="1" spans="1:6">
      <c r="A3156" s="9">
        <v>3153</v>
      </c>
      <c r="B3156" s="10" t="s">
        <v>2825</v>
      </c>
      <c r="C3156" s="10" t="s">
        <v>2826</v>
      </c>
      <c r="D3156" s="10" t="s">
        <v>3110</v>
      </c>
      <c r="E3156" s="10" t="str">
        <f>"644020240515003459180601"</f>
        <v>644020240515003459180601</v>
      </c>
      <c r="F3156" s="9"/>
    </row>
    <row r="3157" s="2" customFormat="1" ht="30" customHeight="1" spans="1:6">
      <c r="A3157" s="9">
        <v>3154</v>
      </c>
      <c r="B3157" s="10" t="s">
        <v>2825</v>
      </c>
      <c r="C3157" s="10" t="s">
        <v>2826</v>
      </c>
      <c r="D3157" s="10" t="s">
        <v>3111</v>
      </c>
      <c r="E3157" s="10" t="str">
        <f>"644020240514111021178639"</f>
        <v>644020240514111021178639</v>
      </c>
      <c r="F3157" s="9"/>
    </row>
    <row r="3158" s="2" customFormat="1" ht="30" customHeight="1" spans="1:6">
      <c r="A3158" s="9">
        <v>3155</v>
      </c>
      <c r="B3158" s="10" t="s">
        <v>2825</v>
      </c>
      <c r="C3158" s="10" t="s">
        <v>2826</v>
      </c>
      <c r="D3158" s="10" t="s">
        <v>3112</v>
      </c>
      <c r="E3158" s="10" t="str">
        <f>"644020240514144944179173"</f>
        <v>644020240514144944179173</v>
      </c>
      <c r="F3158" s="9"/>
    </row>
    <row r="3159" s="2" customFormat="1" ht="30" customHeight="1" spans="1:6">
      <c r="A3159" s="9">
        <v>3156</v>
      </c>
      <c r="B3159" s="10" t="s">
        <v>2825</v>
      </c>
      <c r="C3159" s="10" t="s">
        <v>2826</v>
      </c>
      <c r="D3159" s="10" t="s">
        <v>3113</v>
      </c>
      <c r="E3159" s="10" t="str">
        <f>"644020240514095957178266"</f>
        <v>644020240514095957178266</v>
      </c>
      <c r="F3159" s="9"/>
    </row>
    <row r="3160" s="2" customFormat="1" ht="30" customHeight="1" spans="1:6">
      <c r="A3160" s="9">
        <v>3157</v>
      </c>
      <c r="B3160" s="10" t="s">
        <v>2825</v>
      </c>
      <c r="C3160" s="10" t="s">
        <v>2826</v>
      </c>
      <c r="D3160" s="10" t="s">
        <v>3114</v>
      </c>
      <c r="E3160" s="10" t="str">
        <f>"644020240513115644174122"</f>
        <v>644020240513115644174122</v>
      </c>
      <c r="F3160" s="9"/>
    </row>
    <row r="3161" s="2" customFormat="1" ht="30" customHeight="1" spans="1:6">
      <c r="A3161" s="9">
        <v>3158</v>
      </c>
      <c r="B3161" s="10" t="s">
        <v>2825</v>
      </c>
      <c r="C3161" s="10" t="s">
        <v>2826</v>
      </c>
      <c r="D3161" s="10" t="s">
        <v>3115</v>
      </c>
      <c r="E3161" s="10" t="str">
        <f>"644020240514230220180460"</f>
        <v>644020240514230220180460</v>
      </c>
      <c r="F3161" s="9"/>
    </row>
    <row r="3162" s="2" customFormat="1" ht="30" customHeight="1" spans="1:6">
      <c r="A3162" s="9">
        <v>3159</v>
      </c>
      <c r="B3162" s="10" t="s">
        <v>2825</v>
      </c>
      <c r="C3162" s="10" t="s">
        <v>2826</v>
      </c>
      <c r="D3162" s="10" t="s">
        <v>3116</v>
      </c>
      <c r="E3162" s="10" t="str">
        <f>"644020240515090800180784"</f>
        <v>644020240515090800180784</v>
      </c>
      <c r="F3162" s="9"/>
    </row>
    <row r="3163" s="2" customFormat="1" ht="30" customHeight="1" spans="1:6">
      <c r="A3163" s="9">
        <v>3160</v>
      </c>
      <c r="B3163" s="10" t="s">
        <v>2825</v>
      </c>
      <c r="C3163" s="10" t="s">
        <v>2826</v>
      </c>
      <c r="D3163" s="10" t="s">
        <v>3117</v>
      </c>
      <c r="E3163" s="10" t="str">
        <f>"644020240513190128176515"</f>
        <v>644020240513190128176515</v>
      </c>
      <c r="F3163" s="9"/>
    </row>
    <row r="3164" s="2" customFormat="1" ht="30" customHeight="1" spans="1:6">
      <c r="A3164" s="9">
        <v>3161</v>
      </c>
      <c r="B3164" s="10" t="s">
        <v>2825</v>
      </c>
      <c r="C3164" s="10" t="s">
        <v>2826</v>
      </c>
      <c r="D3164" s="10" t="s">
        <v>3118</v>
      </c>
      <c r="E3164" s="10" t="str">
        <f>"644020240515092802180848"</f>
        <v>644020240515092802180848</v>
      </c>
      <c r="F3164" s="9"/>
    </row>
    <row r="3165" s="2" customFormat="1" ht="30" customHeight="1" spans="1:6">
      <c r="A3165" s="9">
        <v>3162</v>
      </c>
      <c r="B3165" s="10" t="s">
        <v>2825</v>
      </c>
      <c r="C3165" s="10" t="s">
        <v>2826</v>
      </c>
      <c r="D3165" s="10" t="s">
        <v>3119</v>
      </c>
      <c r="E3165" s="10" t="str">
        <f>"644020240513085004172417"</f>
        <v>644020240513085004172417</v>
      </c>
      <c r="F3165" s="9"/>
    </row>
    <row r="3166" s="2" customFormat="1" ht="30" customHeight="1" spans="1:6">
      <c r="A3166" s="9">
        <v>3163</v>
      </c>
      <c r="B3166" s="10" t="s">
        <v>2825</v>
      </c>
      <c r="C3166" s="10" t="s">
        <v>2826</v>
      </c>
      <c r="D3166" s="10" t="s">
        <v>317</v>
      </c>
      <c r="E3166" s="10" t="str">
        <f>"644020240514235544180564"</f>
        <v>644020240514235544180564</v>
      </c>
      <c r="F3166" s="9"/>
    </row>
    <row r="3167" s="2" customFormat="1" ht="30" customHeight="1" spans="1:6">
      <c r="A3167" s="9">
        <v>3164</v>
      </c>
      <c r="B3167" s="10" t="s">
        <v>2825</v>
      </c>
      <c r="C3167" s="10" t="s">
        <v>2826</v>
      </c>
      <c r="D3167" s="10" t="s">
        <v>3120</v>
      </c>
      <c r="E3167" s="10" t="str">
        <f>"644020240515101415180986"</f>
        <v>644020240515101415180986</v>
      </c>
      <c r="F3167" s="9"/>
    </row>
    <row r="3168" s="2" customFormat="1" ht="30" customHeight="1" spans="1:6">
      <c r="A3168" s="9">
        <v>3165</v>
      </c>
      <c r="B3168" s="10" t="s">
        <v>2825</v>
      </c>
      <c r="C3168" s="10" t="s">
        <v>2826</v>
      </c>
      <c r="D3168" s="10" t="s">
        <v>3121</v>
      </c>
      <c r="E3168" s="10" t="str">
        <f>"644020240514234932180552"</f>
        <v>644020240514234932180552</v>
      </c>
      <c r="F3168" s="9"/>
    </row>
    <row r="3169" s="2" customFormat="1" ht="30" customHeight="1" spans="1:6">
      <c r="A3169" s="9">
        <v>3166</v>
      </c>
      <c r="B3169" s="10" t="s">
        <v>2825</v>
      </c>
      <c r="C3169" s="10" t="s">
        <v>2826</v>
      </c>
      <c r="D3169" s="10" t="s">
        <v>3122</v>
      </c>
      <c r="E3169" s="10" t="str">
        <f>"644020240515093554180872"</f>
        <v>644020240515093554180872</v>
      </c>
      <c r="F3169" s="9"/>
    </row>
    <row r="3170" s="2" customFormat="1" ht="30" customHeight="1" spans="1:6">
      <c r="A3170" s="9">
        <v>3167</v>
      </c>
      <c r="B3170" s="10" t="s">
        <v>2825</v>
      </c>
      <c r="C3170" s="10" t="s">
        <v>2826</v>
      </c>
      <c r="D3170" s="10" t="s">
        <v>3123</v>
      </c>
      <c r="E3170" s="10" t="str">
        <f>"644020240513095534173080"</f>
        <v>644020240513095534173080</v>
      </c>
      <c r="F3170" s="9"/>
    </row>
    <row r="3171" s="2" customFormat="1" ht="30" customHeight="1" spans="1:6">
      <c r="A3171" s="9">
        <v>3168</v>
      </c>
      <c r="B3171" s="10" t="s">
        <v>2825</v>
      </c>
      <c r="C3171" s="10" t="s">
        <v>2826</v>
      </c>
      <c r="D3171" s="10" t="s">
        <v>3124</v>
      </c>
      <c r="E3171" s="10" t="str">
        <f>"644020240514174019179732"</f>
        <v>644020240514174019179732</v>
      </c>
      <c r="F3171" s="9"/>
    </row>
    <row r="3172" s="2" customFormat="1" ht="30" customHeight="1" spans="1:6">
      <c r="A3172" s="9">
        <v>3169</v>
      </c>
      <c r="B3172" s="10" t="s">
        <v>2825</v>
      </c>
      <c r="C3172" s="10" t="s">
        <v>2826</v>
      </c>
      <c r="D3172" s="10" t="s">
        <v>3125</v>
      </c>
      <c r="E3172" s="10" t="str">
        <f>"644020240514212126180176"</f>
        <v>644020240514212126180176</v>
      </c>
      <c r="F3172" s="9"/>
    </row>
    <row r="3173" s="2" customFormat="1" ht="30" customHeight="1" spans="1:6">
      <c r="A3173" s="9">
        <v>3170</v>
      </c>
      <c r="B3173" s="10" t="s">
        <v>2825</v>
      </c>
      <c r="C3173" s="10" t="s">
        <v>2826</v>
      </c>
      <c r="D3173" s="10" t="s">
        <v>3126</v>
      </c>
      <c r="E3173" s="10" t="str">
        <f>"644020240513184831176473"</f>
        <v>644020240513184831176473</v>
      </c>
      <c r="F3173" s="9"/>
    </row>
    <row r="3174" s="2" customFormat="1" ht="30" customHeight="1" spans="1:6">
      <c r="A3174" s="9">
        <v>3171</v>
      </c>
      <c r="B3174" s="10" t="s">
        <v>2825</v>
      </c>
      <c r="C3174" s="10" t="s">
        <v>2826</v>
      </c>
      <c r="D3174" s="10" t="s">
        <v>3127</v>
      </c>
      <c r="E3174" s="10" t="str">
        <f>"644020240514105028178562"</f>
        <v>644020240514105028178562</v>
      </c>
      <c r="F3174" s="9"/>
    </row>
    <row r="3175" s="2" customFormat="1" ht="30" customHeight="1" spans="1:6">
      <c r="A3175" s="9">
        <v>3172</v>
      </c>
      <c r="B3175" s="10" t="s">
        <v>2825</v>
      </c>
      <c r="C3175" s="10" t="s">
        <v>2826</v>
      </c>
      <c r="D3175" s="10" t="s">
        <v>3128</v>
      </c>
      <c r="E3175" s="10" t="str">
        <f>"644020240513112738173942"</f>
        <v>644020240513112738173942</v>
      </c>
      <c r="F3175" s="9"/>
    </row>
    <row r="3176" s="2" customFormat="1" ht="30" customHeight="1" spans="1:6">
      <c r="A3176" s="9">
        <v>3173</v>
      </c>
      <c r="B3176" s="10" t="s">
        <v>2825</v>
      </c>
      <c r="C3176" s="10" t="s">
        <v>2826</v>
      </c>
      <c r="D3176" s="10" t="s">
        <v>3129</v>
      </c>
      <c r="E3176" s="10" t="str">
        <f>"644020240514174527179744"</f>
        <v>644020240514174527179744</v>
      </c>
      <c r="F3176" s="9"/>
    </row>
    <row r="3177" s="2" customFormat="1" ht="30" customHeight="1" spans="1:6">
      <c r="A3177" s="9">
        <v>3174</v>
      </c>
      <c r="B3177" s="10" t="s">
        <v>2825</v>
      </c>
      <c r="C3177" s="10" t="s">
        <v>2826</v>
      </c>
      <c r="D3177" s="10" t="s">
        <v>3130</v>
      </c>
      <c r="E3177" s="10" t="str">
        <f>"644020240514154127179342"</f>
        <v>644020240514154127179342</v>
      </c>
      <c r="F3177" s="9"/>
    </row>
    <row r="3178" s="2" customFormat="1" ht="30" customHeight="1" spans="1:6">
      <c r="A3178" s="9">
        <v>3175</v>
      </c>
      <c r="B3178" s="10" t="s">
        <v>2825</v>
      </c>
      <c r="C3178" s="10" t="s">
        <v>2826</v>
      </c>
      <c r="D3178" s="10" t="s">
        <v>3131</v>
      </c>
      <c r="E3178" s="10" t="str">
        <f>"644020240515111139181185"</f>
        <v>644020240515111139181185</v>
      </c>
      <c r="F3178" s="9"/>
    </row>
    <row r="3179" s="2" customFormat="1" ht="30" customHeight="1" spans="1:6">
      <c r="A3179" s="9">
        <v>3176</v>
      </c>
      <c r="B3179" s="10" t="s">
        <v>2825</v>
      </c>
      <c r="C3179" s="10" t="s">
        <v>2826</v>
      </c>
      <c r="D3179" s="10" t="s">
        <v>3132</v>
      </c>
      <c r="E3179" s="10" t="str">
        <f>"644020240512193756170628"</f>
        <v>644020240512193756170628</v>
      </c>
      <c r="F3179" s="9"/>
    </row>
    <row r="3180" s="2" customFormat="1" ht="30" customHeight="1" spans="1:6">
      <c r="A3180" s="9">
        <v>3177</v>
      </c>
      <c r="B3180" s="10" t="s">
        <v>2825</v>
      </c>
      <c r="C3180" s="10" t="s">
        <v>2826</v>
      </c>
      <c r="D3180" s="10" t="s">
        <v>3133</v>
      </c>
      <c r="E3180" s="10" t="str">
        <f>"644020240513214712177156"</f>
        <v>644020240513214712177156</v>
      </c>
      <c r="F3180" s="9"/>
    </row>
    <row r="3181" s="2" customFormat="1" ht="30" customHeight="1" spans="1:6">
      <c r="A3181" s="9">
        <v>3178</v>
      </c>
      <c r="B3181" s="10" t="s">
        <v>2825</v>
      </c>
      <c r="C3181" s="10" t="s">
        <v>2826</v>
      </c>
      <c r="D3181" s="10" t="s">
        <v>3134</v>
      </c>
      <c r="E3181" s="10" t="str">
        <f>"644020240514220318180307"</f>
        <v>644020240514220318180307</v>
      </c>
      <c r="F3181" s="9"/>
    </row>
    <row r="3182" s="2" customFormat="1" ht="30" customHeight="1" spans="1:6">
      <c r="A3182" s="9">
        <v>3179</v>
      </c>
      <c r="B3182" s="10" t="s">
        <v>2825</v>
      </c>
      <c r="C3182" s="10" t="s">
        <v>2826</v>
      </c>
      <c r="D3182" s="10" t="s">
        <v>3135</v>
      </c>
      <c r="E3182" s="10" t="str">
        <f>"644020240515090613180775"</f>
        <v>644020240515090613180775</v>
      </c>
      <c r="F3182" s="9"/>
    </row>
    <row r="3183" s="2" customFormat="1" ht="30" customHeight="1" spans="1:6">
      <c r="A3183" s="9">
        <v>3180</v>
      </c>
      <c r="B3183" s="10" t="s">
        <v>2825</v>
      </c>
      <c r="C3183" s="10" t="s">
        <v>2826</v>
      </c>
      <c r="D3183" s="10" t="s">
        <v>3136</v>
      </c>
      <c r="E3183" s="10" t="str">
        <f>"644020240515105449181128"</f>
        <v>644020240515105449181128</v>
      </c>
      <c r="F3183" s="9"/>
    </row>
    <row r="3184" s="2" customFormat="1" ht="30" customHeight="1" spans="1:6">
      <c r="A3184" s="9">
        <v>3181</v>
      </c>
      <c r="B3184" s="10" t="s">
        <v>2825</v>
      </c>
      <c r="C3184" s="10" t="s">
        <v>2826</v>
      </c>
      <c r="D3184" s="10" t="s">
        <v>3137</v>
      </c>
      <c r="E3184" s="10" t="str">
        <f>"644020240514161426179442"</f>
        <v>644020240514161426179442</v>
      </c>
      <c r="F3184" s="9"/>
    </row>
    <row r="3185" s="2" customFormat="1" ht="30" customHeight="1" spans="1:6">
      <c r="A3185" s="9">
        <v>3182</v>
      </c>
      <c r="B3185" s="10" t="s">
        <v>2825</v>
      </c>
      <c r="C3185" s="10" t="s">
        <v>2826</v>
      </c>
      <c r="D3185" s="10" t="s">
        <v>3138</v>
      </c>
      <c r="E3185" s="10" t="str">
        <f>"644020240514173841179727"</f>
        <v>644020240514173841179727</v>
      </c>
      <c r="F3185" s="9"/>
    </row>
    <row r="3186" s="2" customFormat="1" ht="30" customHeight="1" spans="1:6">
      <c r="A3186" s="9">
        <v>3183</v>
      </c>
      <c r="B3186" s="10" t="s">
        <v>2825</v>
      </c>
      <c r="C3186" s="10" t="s">
        <v>2826</v>
      </c>
      <c r="D3186" s="10" t="s">
        <v>732</v>
      </c>
      <c r="E3186" s="10" t="str">
        <f>"644020240514101429178333"</f>
        <v>644020240514101429178333</v>
      </c>
      <c r="F3186" s="9"/>
    </row>
    <row r="3187" s="2" customFormat="1" ht="30" customHeight="1" spans="1:6">
      <c r="A3187" s="9">
        <v>3184</v>
      </c>
      <c r="B3187" s="10" t="s">
        <v>2825</v>
      </c>
      <c r="C3187" s="10" t="s">
        <v>2826</v>
      </c>
      <c r="D3187" s="10" t="s">
        <v>3139</v>
      </c>
      <c r="E3187" s="10" t="str">
        <f>"644020240515121438181349"</f>
        <v>644020240515121438181349</v>
      </c>
      <c r="F3187" s="9"/>
    </row>
    <row r="3188" s="2" customFormat="1" ht="30" customHeight="1" spans="1:6">
      <c r="A3188" s="9">
        <v>3185</v>
      </c>
      <c r="B3188" s="10" t="s">
        <v>2825</v>
      </c>
      <c r="C3188" s="10" t="s">
        <v>2826</v>
      </c>
      <c r="D3188" s="10" t="s">
        <v>3140</v>
      </c>
      <c r="E3188" s="10" t="str">
        <f>"644020240514102533178409"</f>
        <v>644020240514102533178409</v>
      </c>
      <c r="F3188" s="9"/>
    </row>
    <row r="3189" s="2" customFormat="1" ht="30" customHeight="1" spans="1:6">
      <c r="A3189" s="9">
        <v>3186</v>
      </c>
      <c r="B3189" s="10" t="s">
        <v>2825</v>
      </c>
      <c r="C3189" s="10" t="s">
        <v>2826</v>
      </c>
      <c r="D3189" s="10" t="s">
        <v>3141</v>
      </c>
      <c r="E3189" s="10" t="str">
        <f>"644020240515113446181259"</f>
        <v>644020240515113446181259</v>
      </c>
      <c r="F3189" s="9"/>
    </row>
    <row r="3190" s="2" customFormat="1" ht="30" customHeight="1" spans="1:6">
      <c r="A3190" s="9">
        <v>3187</v>
      </c>
      <c r="B3190" s="10" t="s">
        <v>2825</v>
      </c>
      <c r="C3190" s="10" t="s">
        <v>2826</v>
      </c>
      <c r="D3190" s="10" t="s">
        <v>3142</v>
      </c>
      <c r="E3190" s="10" t="str">
        <f>"644020240515125914181413"</f>
        <v>644020240515125914181413</v>
      </c>
      <c r="F3190" s="9"/>
    </row>
    <row r="3191" s="2" customFormat="1" ht="30" customHeight="1" spans="1:6">
      <c r="A3191" s="9">
        <v>3188</v>
      </c>
      <c r="B3191" s="10" t="s">
        <v>2825</v>
      </c>
      <c r="C3191" s="10" t="s">
        <v>2826</v>
      </c>
      <c r="D3191" s="10" t="s">
        <v>3143</v>
      </c>
      <c r="E3191" s="10" t="str">
        <f>"644020240515122335181363"</f>
        <v>644020240515122335181363</v>
      </c>
      <c r="F3191" s="9"/>
    </row>
    <row r="3192" s="2" customFormat="1" ht="30" customHeight="1" spans="1:6">
      <c r="A3192" s="9">
        <v>3189</v>
      </c>
      <c r="B3192" s="10" t="s">
        <v>2825</v>
      </c>
      <c r="C3192" s="10" t="s">
        <v>2826</v>
      </c>
      <c r="D3192" s="10" t="s">
        <v>3144</v>
      </c>
      <c r="E3192" s="10" t="str">
        <f>"644020240515131215181439"</f>
        <v>644020240515131215181439</v>
      </c>
      <c r="F3192" s="9"/>
    </row>
    <row r="3193" s="2" customFormat="1" ht="30" customHeight="1" spans="1:6">
      <c r="A3193" s="9">
        <v>3190</v>
      </c>
      <c r="B3193" s="10" t="s">
        <v>2825</v>
      </c>
      <c r="C3193" s="10" t="s">
        <v>2826</v>
      </c>
      <c r="D3193" s="10" t="s">
        <v>3145</v>
      </c>
      <c r="E3193" s="10" t="str">
        <f>"644020240515134555181494"</f>
        <v>644020240515134555181494</v>
      </c>
      <c r="F3193" s="9"/>
    </row>
    <row r="3194" s="2" customFormat="1" ht="30" customHeight="1" spans="1:6">
      <c r="A3194" s="9">
        <v>3191</v>
      </c>
      <c r="B3194" s="10" t="s">
        <v>2825</v>
      </c>
      <c r="C3194" s="10" t="s">
        <v>2826</v>
      </c>
      <c r="D3194" s="10" t="s">
        <v>3146</v>
      </c>
      <c r="E3194" s="10" t="str">
        <f>"644020240515141456181536"</f>
        <v>644020240515141456181536</v>
      </c>
      <c r="F3194" s="9"/>
    </row>
    <row r="3195" s="2" customFormat="1" ht="30" customHeight="1" spans="1:6">
      <c r="A3195" s="9">
        <v>3192</v>
      </c>
      <c r="B3195" s="10" t="s">
        <v>2825</v>
      </c>
      <c r="C3195" s="10" t="s">
        <v>2826</v>
      </c>
      <c r="D3195" s="10" t="s">
        <v>3147</v>
      </c>
      <c r="E3195" s="10" t="str">
        <f>"644020240513112427173917"</f>
        <v>644020240513112427173917</v>
      </c>
      <c r="F3195" s="9"/>
    </row>
    <row r="3196" s="2" customFormat="1" ht="30" customHeight="1" spans="1:6">
      <c r="A3196" s="9">
        <v>3193</v>
      </c>
      <c r="B3196" s="10" t="s">
        <v>2825</v>
      </c>
      <c r="C3196" s="10" t="s">
        <v>2826</v>
      </c>
      <c r="D3196" s="10" t="s">
        <v>3148</v>
      </c>
      <c r="E3196" s="10" t="str">
        <f>"644020240512145150169622"</f>
        <v>644020240512145150169622</v>
      </c>
      <c r="F3196" s="9"/>
    </row>
    <row r="3197" s="2" customFormat="1" ht="30" customHeight="1" spans="1:6">
      <c r="A3197" s="9">
        <v>3194</v>
      </c>
      <c r="B3197" s="10" t="s">
        <v>2825</v>
      </c>
      <c r="C3197" s="10" t="s">
        <v>2826</v>
      </c>
      <c r="D3197" s="10" t="s">
        <v>3149</v>
      </c>
      <c r="E3197" s="10" t="str">
        <f>"644020240515140355181522"</f>
        <v>644020240515140355181522</v>
      </c>
      <c r="F3197" s="9"/>
    </row>
    <row r="3198" s="2" customFormat="1" ht="30" customHeight="1" spans="1:6">
      <c r="A3198" s="9">
        <v>3195</v>
      </c>
      <c r="B3198" s="10" t="s">
        <v>2825</v>
      </c>
      <c r="C3198" s="10" t="s">
        <v>2826</v>
      </c>
      <c r="D3198" s="10" t="s">
        <v>3150</v>
      </c>
      <c r="E3198" s="10" t="str">
        <f>"644020240515134846181500"</f>
        <v>644020240515134846181500</v>
      </c>
      <c r="F3198" s="9"/>
    </row>
    <row r="3199" s="2" customFormat="1" ht="30" customHeight="1" spans="1:6">
      <c r="A3199" s="9">
        <v>3196</v>
      </c>
      <c r="B3199" s="10" t="s">
        <v>2825</v>
      </c>
      <c r="C3199" s="10" t="s">
        <v>2826</v>
      </c>
      <c r="D3199" s="10" t="s">
        <v>3151</v>
      </c>
      <c r="E3199" s="10" t="str">
        <f>"644020240513093901172896"</f>
        <v>644020240513093901172896</v>
      </c>
      <c r="F3199" s="9"/>
    </row>
    <row r="3200" s="2" customFormat="1" ht="30" customHeight="1" spans="1:6">
      <c r="A3200" s="9">
        <v>3197</v>
      </c>
      <c r="B3200" s="10" t="s">
        <v>2825</v>
      </c>
      <c r="C3200" s="10" t="s">
        <v>2826</v>
      </c>
      <c r="D3200" s="10" t="s">
        <v>3152</v>
      </c>
      <c r="E3200" s="10" t="str">
        <f>"644020240515130748181430"</f>
        <v>644020240515130748181430</v>
      </c>
      <c r="F3200" s="9"/>
    </row>
    <row r="3201" s="2" customFormat="1" ht="30" customHeight="1" spans="1:6">
      <c r="A3201" s="9">
        <v>3198</v>
      </c>
      <c r="B3201" s="10" t="s">
        <v>2825</v>
      </c>
      <c r="C3201" s="10" t="s">
        <v>2826</v>
      </c>
      <c r="D3201" s="10" t="s">
        <v>3153</v>
      </c>
      <c r="E3201" s="10" t="str">
        <f>"644020240515150026181616"</f>
        <v>644020240515150026181616</v>
      </c>
      <c r="F3201" s="9"/>
    </row>
    <row r="3202" s="2" customFormat="1" ht="30" customHeight="1" spans="1:6">
      <c r="A3202" s="9">
        <v>3199</v>
      </c>
      <c r="B3202" s="10" t="s">
        <v>2825</v>
      </c>
      <c r="C3202" s="10" t="s">
        <v>2826</v>
      </c>
      <c r="D3202" s="10" t="s">
        <v>3154</v>
      </c>
      <c r="E3202" s="10" t="str">
        <f>"644020240515154652181738"</f>
        <v>644020240515154652181738</v>
      </c>
      <c r="F3202" s="9"/>
    </row>
    <row r="3203" s="2" customFormat="1" ht="30" customHeight="1" spans="1:6">
      <c r="A3203" s="9">
        <v>3200</v>
      </c>
      <c r="B3203" s="10" t="s">
        <v>2825</v>
      </c>
      <c r="C3203" s="10" t="s">
        <v>2826</v>
      </c>
      <c r="D3203" s="10" t="s">
        <v>3155</v>
      </c>
      <c r="E3203" s="10" t="str">
        <f>"644020240515152347181679"</f>
        <v>644020240515152347181679</v>
      </c>
      <c r="F3203" s="9"/>
    </row>
    <row r="3204" s="2" customFormat="1" ht="30" customHeight="1" spans="1:6">
      <c r="A3204" s="9">
        <v>3201</v>
      </c>
      <c r="B3204" s="10" t="s">
        <v>2825</v>
      </c>
      <c r="C3204" s="10" t="s">
        <v>2826</v>
      </c>
      <c r="D3204" s="10" t="s">
        <v>3156</v>
      </c>
      <c r="E3204" s="10" t="str">
        <f>"644020240512132726169350"</f>
        <v>644020240512132726169350</v>
      </c>
      <c r="F3204" s="9"/>
    </row>
    <row r="3205" s="2" customFormat="1" ht="30" customHeight="1" spans="1:6">
      <c r="A3205" s="9">
        <v>3202</v>
      </c>
      <c r="B3205" s="10" t="s">
        <v>2825</v>
      </c>
      <c r="C3205" s="10" t="s">
        <v>2826</v>
      </c>
      <c r="D3205" s="10" t="s">
        <v>3157</v>
      </c>
      <c r="E3205" s="10" t="str">
        <f>"644020240513144931175106"</f>
        <v>644020240513144931175106</v>
      </c>
      <c r="F3205" s="9"/>
    </row>
    <row r="3206" s="2" customFormat="1" ht="30" customHeight="1" spans="1:6">
      <c r="A3206" s="9">
        <v>3203</v>
      </c>
      <c r="B3206" s="10" t="s">
        <v>2825</v>
      </c>
      <c r="C3206" s="10" t="s">
        <v>2826</v>
      </c>
      <c r="D3206" s="10" t="s">
        <v>3158</v>
      </c>
      <c r="E3206" s="10" t="str">
        <f>"644020240515153433181710"</f>
        <v>644020240515153433181710</v>
      </c>
      <c r="F3206" s="9"/>
    </row>
    <row r="3207" s="2" customFormat="1" ht="30" customHeight="1" spans="1:6">
      <c r="A3207" s="9">
        <v>3204</v>
      </c>
      <c r="B3207" s="10" t="s">
        <v>2825</v>
      </c>
      <c r="C3207" s="10" t="s">
        <v>2826</v>
      </c>
      <c r="D3207" s="10" t="s">
        <v>3159</v>
      </c>
      <c r="E3207" s="10" t="str">
        <f>"644020240515094038180884"</f>
        <v>644020240515094038180884</v>
      </c>
      <c r="F3207" s="9"/>
    </row>
    <row r="3208" s="2" customFormat="1" ht="30" customHeight="1" spans="1:6">
      <c r="A3208" s="9">
        <v>3205</v>
      </c>
      <c r="B3208" s="10" t="s">
        <v>2825</v>
      </c>
      <c r="C3208" s="10" t="s">
        <v>2826</v>
      </c>
      <c r="D3208" s="10" t="s">
        <v>3160</v>
      </c>
      <c r="E3208" s="10" t="str">
        <f>"644020240515155554181768"</f>
        <v>644020240515155554181768</v>
      </c>
      <c r="F3208" s="9"/>
    </row>
    <row r="3209" s="2" customFormat="1" ht="30" customHeight="1" spans="1:6">
      <c r="A3209" s="9">
        <v>3206</v>
      </c>
      <c r="B3209" s="10" t="s">
        <v>2825</v>
      </c>
      <c r="C3209" s="10" t="s">
        <v>2826</v>
      </c>
      <c r="D3209" s="10" t="s">
        <v>3161</v>
      </c>
      <c r="E3209" s="10" t="str">
        <f>"644020240512091010168140"</f>
        <v>644020240512091010168140</v>
      </c>
      <c r="F3209" s="9"/>
    </row>
    <row r="3210" s="2" customFormat="1" ht="30" customHeight="1" spans="1:6">
      <c r="A3210" s="9">
        <v>3207</v>
      </c>
      <c r="B3210" s="10" t="s">
        <v>2825</v>
      </c>
      <c r="C3210" s="10" t="s">
        <v>2826</v>
      </c>
      <c r="D3210" s="10" t="s">
        <v>1590</v>
      </c>
      <c r="E3210" s="10" t="str">
        <f>"644020240512115442168989"</f>
        <v>644020240512115442168989</v>
      </c>
      <c r="F3210" s="9"/>
    </row>
    <row r="3211" s="2" customFormat="1" ht="30" customHeight="1" spans="1:6">
      <c r="A3211" s="9">
        <v>3208</v>
      </c>
      <c r="B3211" s="10" t="s">
        <v>2825</v>
      </c>
      <c r="C3211" s="10" t="s">
        <v>2826</v>
      </c>
      <c r="D3211" s="10" t="s">
        <v>3162</v>
      </c>
      <c r="E3211" s="10" t="str">
        <f>"644020240515132739181461"</f>
        <v>644020240515132739181461</v>
      </c>
      <c r="F3211" s="9"/>
    </row>
    <row r="3212" s="2" customFormat="1" ht="30" customHeight="1" spans="1:6">
      <c r="A3212" s="9">
        <v>3209</v>
      </c>
      <c r="B3212" s="10" t="s">
        <v>2825</v>
      </c>
      <c r="C3212" s="10" t="s">
        <v>2826</v>
      </c>
      <c r="D3212" s="10" t="s">
        <v>3163</v>
      </c>
      <c r="E3212" s="10" t="str">
        <f>"644020240513090703172563"</f>
        <v>644020240513090703172563</v>
      </c>
      <c r="F3212" s="9"/>
    </row>
    <row r="3213" s="2" customFormat="1" ht="30" customHeight="1" spans="1:6">
      <c r="A3213" s="9">
        <v>3210</v>
      </c>
      <c r="B3213" s="10" t="s">
        <v>2825</v>
      </c>
      <c r="C3213" s="10" t="s">
        <v>2826</v>
      </c>
      <c r="D3213" s="10" t="s">
        <v>3164</v>
      </c>
      <c r="E3213" s="10" t="str">
        <f>"644020240513171934176185"</f>
        <v>644020240513171934176185</v>
      </c>
      <c r="F3213" s="9"/>
    </row>
    <row r="3214" s="2" customFormat="1" ht="30" customHeight="1" spans="1:6">
      <c r="A3214" s="9">
        <v>3211</v>
      </c>
      <c r="B3214" s="10" t="s">
        <v>2825</v>
      </c>
      <c r="C3214" s="10" t="s">
        <v>2826</v>
      </c>
      <c r="D3214" s="10" t="s">
        <v>3165</v>
      </c>
      <c r="E3214" s="10" t="str">
        <f>"644020240515164509181917"</f>
        <v>644020240515164509181917</v>
      </c>
      <c r="F3214" s="9"/>
    </row>
    <row r="3215" s="2" customFormat="1" ht="30" customHeight="1" spans="1:6">
      <c r="A3215" s="9">
        <v>3212</v>
      </c>
      <c r="B3215" s="10" t="s">
        <v>2825</v>
      </c>
      <c r="C3215" s="10" t="s">
        <v>2826</v>
      </c>
      <c r="D3215" s="10" t="s">
        <v>3166</v>
      </c>
      <c r="E3215" s="10" t="str">
        <f>"644020240515122647181367"</f>
        <v>644020240515122647181367</v>
      </c>
      <c r="F3215" s="9"/>
    </row>
    <row r="3216" s="2" customFormat="1" ht="30" customHeight="1" spans="1:6">
      <c r="A3216" s="9">
        <v>3213</v>
      </c>
      <c r="B3216" s="10" t="s">
        <v>2825</v>
      </c>
      <c r="C3216" s="10" t="s">
        <v>2826</v>
      </c>
      <c r="D3216" s="10" t="s">
        <v>3167</v>
      </c>
      <c r="E3216" s="10" t="str">
        <f>"644020240513233107177584"</f>
        <v>644020240513233107177584</v>
      </c>
      <c r="F3216" s="9"/>
    </row>
    <row r="3217" s="2" customFormat="1" ht="30" customHeight="1" spans="1:6">
      <c r="A3217" s="9">
        <v>3214</v>
      </c>
      <c r="B3217" s="10" t="s">
        <v>2825</v>
      </c>
      <c r="C3217" s="10" t="s">
        <v>2826</v>
      </c>
      <c r="D3217" s="10" t="s">
        <v>3168</v>
      </c>
      <c r="E3217" s="10" t="str">
        <f>"644020240512134423169416"</f>
        <v>644020240512134423169416</v>
      </c>
      <c r="F3217" s="9"/>
    </row>
    <row r="3218" s="2" customFormat="1" ht="30" customHeight="1" spans="1:6">
      <c r="A3218" s="9">
        <v>3215</v>
      </c>
      <c r="B3218" s="10" t="s">
        <v>2825</v>
      </c>
      <c r="C3218" s="10" t="s">
        <v>2826</v>
      </c>
      <c r="D3218" s="10" t="s">
        <v>3169</v>
      </c>
      <c r="E3218" s="10" t="str">
        <f>"644020240515164102181898"</f>
        <v>644020240515164102181898</v>
      </c>
      <c r="F3218" s="9"/>
    </row>
    <row r="3219" s="2" customFormat="1" ht="30" customHeight="1" spans="1:6">
      <c r="A3219" s="9">
        <v>3216</v>
      </c>
      <c r="B3219" s="10" t="s">
        <v>2825</v>
      </c>
      <c r="C3219" s="10" t="s">
        <v>2826</v>
      </c>
      <c r="D3219" s="10" t="s">
        <v>3170</v>
      </c>
      <c r="E3219" s="10" t="str">
        <f>"644020240515160356181795"</f>
        <v>644020240515160356181795</v>
      </c>
      <c r="F3219" s="9"/>
    </row>
    <row r="3220" s="2" customFormat="1" ht="30" customHeight="1" spans="1:6">
      <c r="A3220" s="9">
        <v>3217</v>
      </c>
      <c r="B3220" s="10" t="s">
        <v>2825</v>
      </c>
      <c r="C3220" s="10" t="s">
        <v>2826</v>
      </c>
      <c r="D3220" s="10" t="s">
        <v>3171</v>
      </c>
      <c r="E3220" s="10" t="str">
        <f>"644020240513133633174692"</f>
        <v>644020240513133633174692</v>
      </c>
      <c r="F3220" s="9"/>
    </row>
    <row r="3221" s="2" customFormat="1" ht="30" customHeight="1" spans="1:6">
      <c r="A3221" s="9">
        <v>3218</v>
      </c>
      <c r="B3221" s="10" t="s">
        <v>2825</v>
      </c>
      <c r="C3221" s="10" t="s">
        <v>2826</v>
      </c>
      <c r="D3221" s="10" t="s">
        <v>3172</v>
      </c>
      <c r="E3221" s="10" t="str">
        <f>"644020240515081013180672"</f>
        <v>644020240515081013180672</v>
      </c>
      <c r="F3221" s="9"/>
    </row>
    <row r="3222" s="2" customFormat="1" ht="30" customHeight="1" spans="1:6">
      <c r="A3222" s="9">
        <v>3219</v>
      </c>
      <c r="B3222" s="10" t="s">
        <v>2825</v>
      </c>
      <c r="C3222" s="10" t="s">
        <v>2826</v>
      </c>
      <c r="D3222" s="10" t="s">
        <v>3173</v>
      </c>
      <c r="E3222" s="10" t="str">
        <f>"644020240515174750182032"</f>
        <v>644020240515174750182032</v>
      </c>
      <c r="F3222" s="9"/>
    </row>
    <row r="3223" s="2" customFormat="1" ht="30" customHeight="1" spans="1:6">
      <c r="A3223" s="9">
        <v>3220</v>
      </c>
      <c r="B3223" s="10" t="s">
        <v>2825</v>
      </c>
      <c r="C3223" s="10" t="s">
        <v>2826</v>
      </c>
      <c r="D3223" s="10" t="s">
        <v>3174</v>
      </c>
      <c r="E3223" s="10" t="str">
        <f>"644020240512111446168797"</f>
        <v>644020240512111446168797</v>
      </c>
      <c r="F3223" s="9"/>
    </row>
    <row r="3224" s="2" customFormat="1" ht="30" customHeight="1" spans="1:6">
      <c r="A3224" s="9">
        <v>3221</v>
      </c>
      <c r="B3224" s="10" t="s">
        <v>2825</v>
      </c>
      <c r="C3224" s="10" t="s">
        <v>2826</v>
      </c>
      <c r="D3224" s="10" t="s">
        <v>3175</v>
      </c>
      <c r="E3224" s="10" t="str">
        <f>"644020240515191444182148"</f>
        <v>644020240515191444182148</v>
      </c>
      <c r="F3224" s="9"/>
    </row>
    <row r="3225" s="2" customFormat="1" ht="30" customHeight="1" spans="1:6">
      <c r="A3225" s="9">
        <v>3222</v>
      </c>
      <c r="B3225" s="10" t="s">
        <v>2825</v>
      </c>
      <c r="C3225" s="10" t="s">
        <v>2826</v>
      </c>
      <c r="D3225" s="10" t="s">
        <v>3176</v>
      </c>
      <c r="E3225" s="10" t="str">
        <f>"644020240514222316180360"</f>
        <v>644020240514222316180360</v>
      </c>
      <c r="F3225" s="9"/>
    </row>
    <row r="3226" s="2" customFormat="1" ht="30" customHeight="1" spans="1:6">
      <c r="A3226" s="9">
        <v>3223</v>
      </c>
      <c r="B3226" s="10" t="s">
        <v>2825</v>
      </c>
      <c r="C3226" s="10" t="s">
        <v>2826</v>
      </c>
      <c r="D3226" s="10" t="s">
        <v>3177</v>
      </c>
      <c r="E3226" s="10" t="str">
        <f>"644020240514230151180458"</f>
        <v>644020240514230151180458</v>
      </c>
      <c r="F3226" s="9"/>
    </row>
    <row r="3227" s="2" customFormat="1" ht="30" customHeight="1" spans="1:6">
      <c r="A3227" s="9">
        <v>3224</v>
      </c>
      <c r="B3227" s="10" t="s">
        <v>2825</v>
      </c>
      <c r="C3227" s="10" t="s">
        <v>2826</v>
      </c>
      <c r="D3227" s="10" t="s">
        <v>3178</v>
      </c>
      <c r="E3227" s="10" t="str">
        <f>"644020240514194201179952"</f>
        <v>644020240514194201179952</v>
      </c>
      <c r="F3227" s="9"/>
    </row>
    <row r="3228" s="2" customFormat="1" ht="30" customHeight="1" spans="1:6">
      <c r="A3228" s="9">
        <v>3225</v>
      </c>
      <c r="B3228" s="10" t="s">
        <v>2825</v>
      </c>
      <c r="C3228" s="10" t="s">
        <v>2826</v>
      </c>
      <c r="D3228" s="10" t="s">
        <v>3179</v>
      </c>
      <c r="E3228" s="10" t="str">
        <f>"644020240512124423169189"</f>
        <v>644020240512124423169189</v>
      </c>
      <c r="F3228" s="9"/>
    </row>
    <row r="3229" s="2" customFormat="1" ht="30" customHeight="1" spans="1:6">
      <c r="A3229" s="9">
        <v>3226</v>
      </c>
      <c r="B3229" s="10" t="s">
        <v>2825</v>
      </c>
      <c r="C3229" s="10" t="s">
        <v>2826</v>
      </c>
      <c r="D3229" s="10" t="s">
        <v>3180</v>
      </c>
      <c r="E3229" s="10" t="str">
        <f>"644020240514090338177979"</f>
        <v>644020240514090338177979</v>
      </c>
      <c r="F3229" s="9"/>
    </row>
    <row r="3230" s="2" customFormat="1" ht="30" customHeight="1" spans="1:6">
      <c r="A3230" s="9">
        <v>3227</v>
      </c>
      <c r="B3230" s="10" t="s">
        <v>2825</v>
      </c>
      <c r="C3230" s="10" t="s">
        <v>2826</v>
      </c>
      <c r="D3230" s="10" t="s">
        <v>3181</v>
      </c>
      <c r="E3230" s="10" t="str">
        <f>"644020240515202558182261"</f>
        <v>644020240515202558182261</v>
      </c>
      <c r="F3230" s="9"/>
    </row>
    <row r="3231" s="2" customFormat="1" ht="30" customHeight="1" spans="1:6">
      <c r="A3231" s="9">
        <v>3228</v>
      </c>
      <c r="B3231" s="10" t="s">
        <v>2825</v>
      </c>
      <c r="C3231" s="10" t="s">
        <v>2826</v>
      </c>
      <c r="D3231" s="10" t="s">
        <v>3182</v>
      </c>
      <c r="E3231" s="10" t="str">
        <f>"644020240513092027172714"</f>
        <v>644020240513092027172714</v>
      </c>
      <c r="F3231" s="9"/>
    </row>
    <row r="3232" s="2" customFormat="1" ht="30" customHeight="1" spans="1:6">
      <c r="A3232" s="9">
        <v>3229</v>
      </c>
      <c r="B3232" s="10" t="s">
        <v>2825</v>
      </c>
      <c r="C3232" s="10" t="s">
        <v>2826</v>
      </c>
      <c r="D3232" s="10" t="s">
        <v>3183</v>
      </c>
      <c r="E3232" s="10" t="str">
        <f>"644020240513125226174458"</f>
        <v>644020240513125226174458</v>
      </c>
      <c r="F3232" s="9"/>
    </row>
    <row r="3233" s="2" customFormat="1" ht="30" customHeight="1" spans="1:6">
      <c r="A3233" s="9">
        <v>3230</v>
      </c>
      <c r="B3233" s="10" t="s">
        <v>2825</v>
      </c>
      <c r="C3233" s="10" t="s">
        <v>2826</v>
      </c>
      <c r="D3233" s="10" t="s">
        <v>3184</v>
      </c>
      <c r="E3233" s="10" t="str">
        <f>"644020240513221919177323"</f>
        <v>644020240513221919177323</v>
      </c>
      <c r="F3233" s="9"/>
    </row>
    <row r="3234" s="2" customFormat="1" ht="30" customHeight="1" spans="1:6">
      <c r="A3234" s="9">
        <v>3231</v>
      </c>
      <c r="B3234" s="10" t="s">
        <v>2825</v>
      </c>
      <c r="C3234" s="10" t="s">
        <v>2826</v>
      </c>
      <c r="D3234" s="10" t="s">
        <v>3185</v>
      </c>
      <c r="E3234" s="10" t="str">
        <f>"644020240512142335169533"</f>
        <v>644020240512142335169533</v>
      </c>
      <c r="F3234" s="9"/>
    </row>
    <row r="3235" s="2" customFormat="1" ht="30" customHeight="1" spans="1:6">
      <c r="A3235" s="9">
        <v>3232</v>
      </c>
      <c r="B3235" s="10" t="s">
        <v>2825</v>
      </c>
      <c r="C3235" s="10" t="s">
        <v>2826</v>
      </c>
      <c r="D3235" s="10" t="s">
        <v>3186</v>
      </c>
      <c r="E3235" s="10" t="str">
        <f>"644020240514214347180235"</f>
        <v>644020240514214347180235</v>
      </c>
      <c r="F3235" s="9"/>
    </row>
    <row r="3236" s="2" customFormat="1" ht="30" customHeight="1" spans="1:6">
      <c r="A3236" s="9">
        <v>3233</v>
      </c>
      <c r="B3236" s="10" t="s">
        <v>2825</v>
      </c>
      <c r="C3236" s="10" t="s">
        <v>2826</v>
      </c>
      <c r="D3236" s="10" t="s">
        <v>3187</v>
      </c>
      <c r="E3236" s="10" t="str">
        <f>"644020240515092859180854"</f>
        <v>644020240515092859180854</v>
      </c>
      <c r="F3236" s="9"/>
    </row>
    <row r="3237" s="2" customFormat="1" ht="30" customHeight="1" spans="1:6">
      <c r="A3237" s="9">
        <v>3234</v>
      </c>
      <c r="B3237" s="10" t="s">
        <v>2825</v>
      </c>
      <c r="C3237" s="10" t="s">
        <v>2826</v>
      </c>
      <c r="D3237" s="10" t="s">
        <v>3188</v>
      </c>
      <c r="E3237" s="10" t="str">
        <f>"644020240512161447169936"</f>
        <v>644020240512161447169936</v>
      </c>
      <c r="F3237" s="9"/>
    </row>
    <row r="3238" s="2" customFormat="1" ht="30" customHeight="1" spans="1:6">
      <c r="A3238" s="9">
        <v>3235</v>
      </c>
      <c r="B3238" s="10" t="s">
        <v>2825</v>
      </c>
      <c r="C3238" s="10" t="s">
        <v>2826</v>
      </c>
      <c r="D3238" s="10" t="s">
        <v>3189</v>
      </c>
      <c r="E3238" s="10" t="str">
        <f>"644020240513161512175871"</f>
        <v>644020240513161512175871</v>
      </c>
      <c r="F3238" s="9"/>
    </row>
    <row r="3239" s="2" customFormat="1" ht="30" customHeight="1" spans="1:6">
      <c r="A3239" s="9">
        <v>3236</v>
      </c>
      <c r="B3239" s="10" t="s">
        <v>2825</v>
      </c>
      <c r="C3239" s="10" t="s">
        <v>2826</v>
      </c>
      <c r="D3239" s="10" t="s">
        <v>3190</v>
      </c>
      <c r="E3239" s="10" t="str">
        <f>"644020240513003145171991"</f>
        <v>644020240513003145171991</v>
      </c>
      <c r="F3239" s="9"/>
    </row>
    <row r="3240" s="2" customFormat="1" ht="30" customHeight="1" spans="1:6">
      <c r="A3240" s="9">
        <v>3237</v>
      </c>
      <c r="B3240" s="10" t="s">
        <v>2825</v>
      </c>
      <c r="C3240" s="10" t="s">
        <v>2826</v>
      </c>
      <c r="D3240" s="10" t="s">
        <v>3191</v>
      </c>
      <c r="E3240" s="10" t="str">
        <f>"644020240512160452169897"</f>
        <v>644020240512160452169897</v>
      </c>
      <c r="F3240" s="9"/>
    </row>
    <row r="3241" s="2" customFormat="1" ht="30" customHeight="1" spans="1:6">
      <c r="A3241" s="9">
        <v>3238</v>
      </c>
      <c r="B3241" s="10" t="s">
        <v>2825</v>
      </c>
      <c r="C3241" s="10" t="s">
        <v>2826</v>
      </c>
      <c r="D3241" s="10" t="s">
        <v>3192</v>
      </c>
      <c r="E3241" s="10" t="str">
        <f>"644020240515232452182562"</f>
        <v>644020240515232452182562</v>
      </c>
      <c r="F3241" s="9"/>
    </row>
    <row r="3242" s="2" customFormat="1" ht="30" customHeight="1" spans="1:6">
      <c r="A3242" s="9">
        <v>3239</v>
      </c>
      <c r="B3242" s="10" t="s">
        <v>2825</v>
      </c>
      <c r="C3242" s="10" t="s">
        <v>2826</v>
      </c>
      <c r="D3242" s="10" t="s">
        <v>3193</v>
      </c>
      <c r="E3242" s="10" t="str">
        <f>"644020240512172227170186"</f>
        <v>644020240512172227170186</v>
      </c>
      <c r="F3242" s="9"/>
    </row>
    <row r="3243" s="2" customFormat="1" ht="30" customHeight="1" spans="1:6">
      <c r="A3243" s="9">
        <v>3240</v>
      </c>
      <c r="B3243" s="10" t="s">
        <v>2825</v>
      </c>
      <c r="C3243" s="10" t="s">
        <v>2826</v>
      </c>
      <c r="D3243" s="10" t="s">
        <v>3194</v>
      </c>
      <c r="E3243" s="10" t="str">
        <f>"644020240514111340178649"</f>
        <v>644020240514111340178649</v>
      </c>
      <c r="F3243" s="9"/>
    </row>
    <row r="3244" s="2" customFormat="1" ht="30" customHeight="1" spans="1:6">
      <c r="A3244" s="9">
        <v>3241</v>
      </c>
      <c r="B3244" s="10" t="s">
        <v>2825</v>
      </c>
      <c r="C3244" s="10" t="s">
        <v>2826</v>
      </c>
      <c r="D3244" s="10" t="s">
        <v>3195</v>
      </c>
      <c r="E3244" s="10" t="str">
        <f>"644020240515235816182621"</f>
        <v>644020240515235816182621</v>
      </c>
      <c r="F3244" s="9"/>
    </row>
    <row r="3245" s="2" customFormat="1" ht="30" customHeight="1" spans="1:6">
      <c r="A3245" s="9">
        <v>3242</v>
      </c>
      <c r="B3245" s="10" t="s">
        <v>2825</v>
      </c>
      <c r="C3245" s="10" t="s">
        <v>2826</v>
      </c>
      <c r="D3245" s="10" t="s">
        <v>3196</v>
      </c>
      <c r="E3245" s="10" t="str">
        <f>"644020240515152531181682"</f>
        <v>644020240515152531181682</v>
      </c>
      <c r="F3245" s="9"/>
    </row>
    <row r="3246" s="2" customFormat="1" ht="30" customHeight="1" spans="1:6">
      <c r="A3246" s="9">
        <v>3243</v>
      </c>
      <c r="B3246" s="10" t="s">
        <v>2825</v>
      </c>
      <c r="C3246" s="10" t="s">
        <v>2826</v>
      </c>
      <c r="D3246" s="10" t="s">
        <v>3197</v>
      </c>
      <c r="E3246" s="10" t="str">
        <f>"644020240516004046182665"</f>
        <v>644020240516004046182665</v>
      </c>
      <c r="F3246" s="9"/>
    </row>
    <row r="3247" s="2" customFormat="1" ht="30" customHeight="1" spans="1:6">
      <c r="A3247" s="9">
        <v>3244</v>
      </c>
      <c r="B3247" s="10" t="s">
        <v>2825</v>
      </c>
      <c r="C3247" s="10" t="s">
        <v>2826</v>
      </c>
      <c r="D3247" s="10" t="s">
        <v>3198</v>
      </c>
      <c r="E3247" s="10" t="str">
        <f>"644020240514104803178544"</f>
        <v>644020240514104803178544</v>
      </c>
      <c r="F3247" s="9"/>
    </row>
    <row r="3248" s="2" customFormat="1" ht="30" customHeight="1" spans="1:6">
      <c r="A3248" s="9">
        <v>3245</v>
      </c>
      <c r="B3248" s="10" t="s">
        <v>2825</v>
      </c>
      <c r="C3248" s="10" t="s">
        <v>2826</v>
      </c>
      <c r="D3248" s="10" t="s">
        <v>3199</v>
      </c>
      <c r="E3248" s="10" t="str">
        <f>"644020240513161913175888"</f>
        <v>644020240513161913175888</v>
      </c>
      <c r="F3248" s="9"/>
    </row>
    <row r="3249" s="2" customFormat="1" ht="30" customHeight="1" spans="1:6">
      <c r="A3249" s="9">
        <v>3246</v>
      </c>
      <c r="B3249" s="10" t="s">
        <v>2825</v>
      </c>
      <c r="C3249" s="10" t="s">
        <v>2826</v>
      </c>
      <c r="D3249" s="10" t="s">
        <v>3200</v>
      </c>
      <c r="E3249" s="10" t="str">
        <f>"644020240516082609182765"</f>
        <v>644020240516082609182765</v>
      </c>
      <c r="F3249" s="9"/>
    </row>
    <row r="3250" s="2" customFormat="1" ht="30" customHeight="1" spans="1:6">
      <c r="A3250" s="9">
        <v>3247</v>
      </c>
      <c r="B3250" s="10" t="s">
        <v>2825</v>
      </c>
      <c r="C3250" s="10" t="s">
        <v>2826</v>
      </c>
      <c r="D3250" s="10" t="s">
        <v>3201</v>
      </c>
      <c r="E3250" s="10" t="str">
        <f>"644020240516075928182733"</f>
        <v>644020240516075928182733</v>
      </c>
      <c r="F3250" s="9"/>
    </row>
    <row r="3251" s="2" customFormat="1" ht="30" customHeight="1" spans="1:6">
      <c r="A3251" s="9">
        <v>3248</v>
      </c>
      <c r="B3251" s="10" t="s">
        <v>2825</v>
      </c>
      <c r="C3251" s="10" t="s">
        <v>2826</v>
      </c>
      <c r="D3251" s="10" t="s">
        <v>3202</v>
      </c>
      <c r="E3251" s="10" t="str">
        <f>"644020240515084432180730"</f>
        <v>644020240515084432180730</v>
      </c>
      <c r="F3251" s="9"/>
    </row>
    <row r="3252" s="2" customFormat="1" ht="30" customHeight="1" spans="1:6">
      <c r="A3252" s="9">
        <v>3249</v>
      </c>
      <c r="B3252" s="10" t="s">
        <v>2825</v>
      </c>
      <c r="C3252" s="10" t="s">
        <v>2826</v>
      </c>
      <c r="D3252" s="10" t="s">
        <v>3203</v>
      </c>
      <c r="E3252" s="10" t="str">
        <f>"644020240516083033182773"</f>
        <v>644020240516083033182773</v>
      </c>
      <c r="F3252" s="9"/>
    </row>
    <row r="3253" s="2" customFormat="1" ht="30" customHeight="1" spans="1:6">
      <c r="A3253" s="9">
        <v>3250</v>
      </c>
      <c r="B3253" s="10" t="s">
        <v>2825</v>
      </c>
      <c r="C3253" s="10" t="s">
        <v>2826</v>
      </c>
      <c r="D3253" s="10" t="s">
        <v>3204</v>
      </c>
      <c r="E3253" s="10" t="str">
        <f>"644020240515135919181515"</f>
        <v>644020240515135919181515</v>
      </c>
      <c r="F3253" s="9"/>
    </row>
    <row r="3254" s="2" customFormat="1" ht="30" customHeight="1" spans="1:6">
      <c r="A3254" s="9">
        <v>3251</v>
      </c>
      <c r="B3254" s="10" t="s">
        <v>2825</v>
      </c>
      <c r="C3254" s="10" t="s">
        <v>2826</v>
      </c>
      <c r="D3254" s="10" t="s">
        <v>3205</v>
      </c>
      <c r="E3254" s="10" t="str">
        <f>"644020240513091648172662"</f>
        <v>644020240513091648172662</v>
      </c>
      <c r="F3254" s="9"/>
    </row>
    <row r="3255" s="2" customFormat="1" ht="30" customHeight="1" spans="1:6">
      <c r="A3255" s="9">
        <v>3252</v>
      </c>
      <c r="B3255" s="10" t="s">
        <v>2825</v>
      </c>
      <c r="C3255" s="10" t="s">
        <v>2826</v>
      </c>
      <c r="D3255" s="10" t="s">
        <v>3206</v>
      </c>
      <c r="E3255" s="10" t="str">
        <f>"644020240513163337175956"</f>
        <v>644020240513163337175956</v>
      </c>
      <c r="F3255" s="9"/>
    </row>
    <row r="3256" s="2" customFormat="1" ht="30" customHeight="1" spans="1:6">
      <c r="A3256" s="9">
        <v>3253</v>
      </c>
      <c r="B3256" s="10" t="s">
        <v>2825</v>
      </c>
      <c r="C3256" s="10" t="s">
        <v>2826</v>
      </c>
      <c r="D3256" s="10" t="s">
        <v>3207</v>
      </c>
      <c r="E3256" s="10" t="str">
        <f>"644020240516090632182819"</f>
        <v>644020240516090632182819</v>
      </c>
      <c r="F3256" s="9"/>
    </row>
    <row r="3257" s="2" customFormat="1" ht="30" customHeight="1" spans="1:6">
      <c r="A3257" s="9">
        <v>3254</v>
      </c>
      <c r="B3257" s="10" t="s">
        <v>2825</v>
      </c>
      <c r="C3257" s="10" t="s">
        <v>2826</v>
      </c>
      <c r="D3257" s="10" t="s">
        <v>3208</v>
      </c>
      <c r="E3257" s="10" t="str">
        <f>"644020240516080802182744"</f>
        <v>644020240516080802182744</v>
      </c>
      <c r="F3257" s="9"/>
    </row>
    <row r="3258" s="2" customFormat="1" ht="30" customHeight="1" spans="1:6">
      <c r="A3258" s="9">
        <v>3255</v>
      </c>
      <c r="B3258" s="10" t="s">
        <v>2825</v>
      </c>
      <c r="C3258" s="10" t="s">
        <v>2826</v>
      </c>
      <c r="D3258" s="10" t="s">
        <v>3209</v>
      </c>
      <c r="E3258" s="10" t="str">
        <f>"644020240513224138177412"</f>
        <v>644020240513224138177412</v>
      </c>
      <c r="F3258" s="9"/>
    </row>
    <row r="3259" s="2" customFormat="1" ht="30" customHeight="1" spans="1:6">
      <c r="A3259" s="9">
        <v>3256</v>
      </c>
      <c r="B3259" s="10" t="s">
        <v>2825</v>
      </c>
      <c r="C3259" s="10" t="s">
        <v>2826</v>
      </c>
      <c r="D3259" s="10" t="s">
        <v>3210</v>
      </c>
      <c r="E3259" s="10" t="str">
        <f>"644020240516092644182866"</f>
        <v>644020240516092644182866</v>
      </c>
      <c r="F3259" s="9"/>
    </row>
    <row r="3260" s="2" customFormat="1" ht="30" customHeight="1" spans="1:6">
      <c r="A3260" s="9">
        <v>3257</v>
      </c>
      <c r="B3260" s="10" t="s">
        <v>2825</v>
      </c>
      <c r="C3260" s="10" t="s">
        <v>2826</v>
      </c>
      <c r="D3260" s="10" t="s">
        <v>3211</v>
      </c>
      <c r="E3260" s="10" t="str">
        <f>"644020240516104811183070"</f>
        <v>644020240516104811183070</v>
      </c>
      <c r="F3260" s="9"/>
    </row>
    <row r="3261" s="2" customFormat="1" ht="30" customHeight="1" spans="1:6">
      <c r="A3261" s="9">
        <v>3258</v>
      </c>
      <c r="B3261" s="10" t="s">
        <v>2825</v>
      </c>
      <c r="C3261" s="10" t="s">
        <v>2826</v>
      </c>
      <c r="D3261" s="10" t="s">
        <v>3212</v>
      </c>
      <c r="E3261" s="10" t="str">
        <f>"644020240516110236183107"</f>
        <v>644020240516110236183107</v>
      </c>
      <c r="F3261" s="9"/>
    </row>
    <row r="3262" s="2" customFormat="1" ht="30" customHeight="1" spans="1:6">
      <c r="A3262" s="9">
        <v>3259</v>
      </c>
      <c r="B3262" s="10" t="s">
        <v>2825</v>
      </c>
      <c r="C3262" s="10" t="s">
        <v>2826</v>
      </c>
      <c r="D3262" s="10" t="s">
        <v>3213</v>
      </c>
      <c r="E3262" s="10" t="str">
        <f>"644020240513104952173598"</f>
        <v>644020240513104952173598</v>
      </c>
      <c r="F3262" s="9"/>
    </row>
    <row r="3263" s="2" customFormat="1" ht="30" customHeight="1" spans="1:6">
      <c r="A3263" s="9">
        <v>3260</v>
      </c>
      <c r="B3263" s="10" t="s">
        <v>2825</v>
      </c>
      <c r="C3263" s="10" t="s">
        <v>2826</v>
      </c>
      <c r="D3263" s="10" t="s">
        <v>3214</v>
      </c>
      <c r="E3263" s="10" t="str">
        <f>"644020240516091845182851"</f>
        <v>644020240516091845182851</v>
      </c>
      <c r="F3263" s="9"/>
    </row>
    <row r="3264" s="2" customFormat="1" ht="30" customHeight="1" spans="1:6">
      <c r="A3264" s="9">
        <v>3261</v>
      </c>
      <c r="B3264" s="10" t="s">
        <v>2825</v>
      </c>
      <c r="C3264" s="10" t="s">
        <v>2826</v>
      </c>
      <c r="D3264" s="10" t="s">
        <v>3215</v>
      </c>
      <c r="E3264" s="10" t="str">
        <f>"644020240516110919183129"</f>
        <v>644020240516110919183129</v>
      </c>
      <c r="F3264" s="9"/>
    </row>
    <row r="3265" s="2" customFormat="1" ht="30" customHeight="1" spans="1:6">
      <c r="A3265" s="9">
        <v>3262</v>
      </c>
      <c r="B3265" s="10" t="s">
        <v>2825</v>
      </c>
      <c r="C3265" s="10" t="s">
        <v>2826</v>
      </c>
      <c r="D3265" s="10" t="s">
        <v>3216</v>
      </c>
      <c r="E3265" s="10" t="str">
        <f>"644020240514133007179027"</f>
        <v>644020240514133007179027</v>
      </c>
      <c r="F3265" s="9"/>
    </row>
    <row r="3266" s="2" customFormat="1" ht="30" customHeight="1" spans="1:6">
      <c r="A3266" s="9">
        <v>3263</v>
      </c>
      <c r="B3266" s="10" t="s">
        <v>2825</v>
      </c>
      <c r="C3266" s="10" t="s">
        <v>2826</v>
      </c>
      <c r="D3266" s="10" t="s">
        <v>3217</v>
      </c>
      <c r="E3266" s="10" t="str">
        <f>"644020240514235040180557"</f>
        <v>644020240514235040180557</v>
      </c>
      <c r="F3266" s="9"/>
    </row>
    <row r="3267" s="2" customFormat="1" ht="30" customHeight="1" spans="1:6">
      <c r="A3267" s="9">
        <v>3264</v>
      </c>
      <c r="B3267" s="10" t="s">
        <v>2825</v>
      </c>
      <c r="C3267" s="10" t="s">
        <v>2826</v>
      </c>
      <c r="D3267" s="10" t="s">
        <v>3218</v>
      </c>
      <c r="E3267" s="10" t="str">
        <f>"644020240515195153182204"</f>
        <v>644020240515195153182204</v>
      </c>
      <c r="F3267" s="9"/>
    </row>
    <row r="3268" s="2" customFormat="1" ht="30" customHeight="1" spans="1:6">
      <c r="A3268" s="9">
        <v>3265</v>
      </c>
      <c r="B3268" s="10" t="s">
        <v>2825</v>
      </c>
      <c r="C3268" s="10" t="s">
        <v>2826</v>
      </c>
      <c r="D3268" s="10" t="s">
        <v>3219</v>
      </c>
      <c r="E3268" s="10" t="str">
        <f>"644020240516111610183149"</f>
        <v>644020240516111610183149</v>
      </c>
      <c r="F3268" s="9"/>
    </row>
    <row r="3269" s="2" customFormat="1" ht="30" customHeight="1" spans="1:6">
      <c r="A3269" s="9">
        <v>3266</v>
      </c>
      <c r="B3269" s="10" t="s">
        <v>2825</v>
      </c>
      <c r="C3269" s="10" t="s">
        <v>2826</v>
      </c>
      <c r="D3269" s="10" t="s">
        <v>3220</v>
      </c>
      <c r="E3269" s="10" t="str">
        <f>"644020240516121204183250"</f>
        <v>644020240516121204183250</v>
      </c>
      <c r="F3269" s="9"/>
    </row>
    <row r="3270" s="2" customFormat="1" ht="30" customHeight="1" spans="1:6">
      <c r="A3270" s="9">
        <v>3267</v>
      </c>
      <c r="B3270" s="10" t="s">
        <v>2825</v>
      </c>
      <c r="C3270" s="10" t="s">
        <v>2826</v>
      </c>
      <c r="D3270" s="10" t="s">
        <v>3221</v>
      </c>
      <c r="E3270" s="10" t="str">
        <f>"644020240516124627183308"</f>
        <v>644020240516124627183308</v>
      </c>
      <c r="F3270" s="9"/>
    </row>
    <row r="3271" s="2" customFormat="1" ht="30" customHeight="1" spans="1:6">
      <c r="A3271" s="9">
        <v>3268</v>
      </c>
      <c r="B3271" s="10" t="s">
        <v>2825</v>
      </c>
      <c r="C3271" s="10" t="s">
        <v>2826</v>
      </c>
      <c r="D3271" s="10" t="s">
        <v>3222</v>
      </c>
      <c r="E3271" s="10" t="str">
        <f>"644020240516122201183263"</f>
        <v>644020240516122201183263</v>
      </c>
      <c r="F3271" s="9"/>
    </row>
    <row r="3272" s="2" customFormat="1" ht="30" customHeight="1" spans="1:6">
      <c r="A3272" s="9">
        <v>3269</v>
      </c>
      <c r="B3272" s="10" t="s">
        <v>2825</v>
      </c>
      <c r="C3272" s="10" t="s">
        <v>2826</v>
      </c>
      <c r="D3272" s="10" t="s">
        <v>3223</v>
      </c>
      <c r="E3272" s="10" t="str">
        <f>"644020240516130205183335"</f>
        <v>644020240516130205183335</v>
      </c>
      <c r="F3272" s="9"/>
    </row>
    <row r="3273" s="2" customFormat="1" ht="30" customHeight="1" spans="1:6">
      <c r="A3273" s="9">
        <v>3270</v>
      </c>
      <c r="B3273" s="10" t="s">
        <v>2825</v>
      </c>
      <c r="C3273" s="10" t="s">
        <v>2826</v>
      </c>
      <c r="D3273" s="10" t="s">
        <v>3224</v>
      </c>
      <c r="E3273" s="10" t="str">
        <f>"644020240516122841183281"</f>
        <v>644020240516122841183281</v>
      </c>
      <c r="F3273" s="9"/>
    </row>
    <row r="3274" s="2" customFormat="1" ht="30" customHeight="1" spans="1:6">
      <c r="A3274" s="9">
        <v>3271</v>
      </c>
      <c r="B3274" s="10" t="s">
        <v>2825</v>
      </c>
      <c r="C3274" s="10" t="s">
        <v>2826</v>
      </c>
      <c r="D3274" s="10" t="s">
        <v>3225</v>
      </c>
      <c r="E3274" s="10" t="str">
        <f>"644020240516132351183366"</f>
        <v>644020240516132351183366</v>
      </c>
      <c r="F3274" s="9"/>
    </row>
    <row r="3275" s="2" customFormat="1" ht="30" customHeight="1" spans="1:6">
      <c r="A3275" s="9">
        <v>3272</v>
      </c>
      <c r="B3275" s="10" t="s">
        <v>2825</v>
      </c>
      <c r="C3275" s="10" t="s">
        <v>2826</v>
      </c>
      <c r="D3275" s="10" t="s">
        <v>3226</v>
      </c>
      <c r="E3275" s="10" t="str">
        <f>"644020240512194631170656"</f>
        <v>644020240512194631170656</v>
      </c>
      <c r="F3275" s="9"/>
    </row>
    <row r="3276" s="2" customFormat="1" ht="30" customHeight="1" spans="1:6">
      <c r="A3276" s="9">
        <v>3273</v>
      </c>
      <c r="B3276" s="10" t="s">
        <v>2825</v>
      </c>
      <c r="C3276" s="10" t="s">
        <v>2826</v>
      </c>
      <c r="D3276" s="10" t="s">
        <v>3227</v>
      </c>
      <c r="E3276" s="10" t="str">
        <f>"644020240516104736183068"</f>
        <v>644020240516104736183068</v>
      </c>
      <c r="F3276" s="9"/>
    </row>
    <row r="3277" s="2" customFormat="1" ht="30" customHeight="1" spans="1:6">
      <c r="A3277" s="9">
        <v>3274</v>
      </c>
      <c r="B3277" s="10" t="s">
        <v>2825</v>
      </c>
      <c r="C3277" s="10" t="s">
        <v>2826</v>
      </c>
      <c r="D3277" s="10" t="s">
        <v>3228</v>
      </c>
      <c r="E3277" s="10" t="str">
        <f>"644020240516141815183416"</f>
        <v>644020240516141815183416</v>
      </c>
      <c r="F3277" s="9"/>
    </row>
    <row r="3278" s="2" customFormat="1" ht="30" customHeight="1" spans="1:6">
      <c r="A3278" s="9">
        <v>3275</v>
      </c>
      <c r="B3278" s="10" t="s">
        <v>2825</v>
      </c>
      <c r="C3278" s="10" t="s">
        <v>2826</v>
      </c>
      <c r="D3278" s="10" t="s">
        <v>3229</v>
      </c>
      <c r="E3278" s="10" t="str">
        <f>"644020240516143752183443"</f>
        <v>644020240516143752183443</v>
      </c>
      <c r="F3278" s="9"/>
    </row>
    <row r="3279" s="2" customFormat="1" ht="30" customHeight="1" spans="1:6">
      <c r="A3279" s="9">
        <v>3276</v>
      </c>
      <c r="B3279" s="10" t="s">
        <v>2825</v>
      </c>
      <c r="C3279" s="10" t="s">
        <v>2826</v>
      </c>
      <c r="D3279" s="10" t="s">
        <v>3230</v>
      </c>
      <c r="E3279" s="10" t="str">
        <f>"644020240514145218179185"</f>
        <v>644020240514145218179185</v>
      </c>
      <c r="F3279" s="9"/>
    </row>
    <row r="3280" s="2" customFormat="1" ht="30" customHeight="1" spans="1:6">
      <c r="A3280" s="9">
        <v>3277</v>
      </c>
      <c r="B3280" s="10" t="s">
        <v>2825</v>
      </c>
      <c r="C3280" s="10" t="s">
        <v>2826</v>
      </c>
      <c r="D3280" s="10" t="s">
        <v>3231</v>
      </c>
      <c r="E3280" s="10" t="str">
        <f>"644020240514223714180401"</f>
        <v>644020240514223714180401</v>
      </c>
      <c r="F3280" s="9"/>
    </row>
    <row r="3281" s="2" customFormat="1" ht="30" customHeight="1" spans="1:6">
      <c r="A3281" s="9">
        <v>3278</v>
      </c>
      <c r="B3281" s="10" t="s">
        <v>2825</v>
      </c>
      <c r="C3281" s="10" t="s">
        <v>2826</v>
      </c>
      <c r="D3281" s="10" t="s">
        <v>3232</v>
      </c>
      <c r="E3281" s="10" t="str">
        <f>"644020240516092441182861"</f>
        <v>644020240516092441182861</v>
      </c>
      <c r="F3281" s="9"/>
    </row>
    <row r="3282" s="2" customFormat="1" ht="30" customHeight="1" spans="1:6">
      <c r="A3282" s="9">
        <v>3279</v>
      </c>
      <c r="B3282" s="10" t="s">
        <v>2825</v>
      </c>
      <c r="C3282" s="10" t="s">
        <v>2826</v>
      </c>
      <c r="D3282" s="10" t="s">
        <v>3233</v>
      </c>
      <c r="E3282" s="10" t="str">
        <f>"644020240513170437176112"</f>
        <v>644020240513170437176112</v>
      </c>
      <c r="F3282" s="9"/>
    </row>
    <row r="3283" s="2" customFormat="1" ht="30" customHeight="1" spans="1:6">
      <c r="A3283" s="9">
        <v>3280</v>
      </c>
      <c r="B3283" s="10" t="s">
        <v>2825</v>
      </c>
      <c r="C3283" s="10" t="s">
        <v>2826</v>
      </c>
      <c r="D3283" s="10" t="s">
        <v>3234</v>
      </c>
      <c r="E3283" s="10" t="str">
        <f>"644020240516150533183493"</f>
        <v>644020240516150533183493</v>
      </c>
      <c r="F3283" s="9"/>
    </row>
    <row r="3284" s="2" customFormat="1" ht="30" customHeight="1" spans="1:6">
      <c r="A3284" s="9">
        <v>3281</v>
      </c>
      <c r="B3284" s="10" t="s">
        <v>2825</v>
      </c>
      <c r="C3284" s="10" t="s">
        <v>2826</v>
      </c>
      <c r="D3284" s="10" t="s">
        <v>3235</v>
      </c>
      <c r="E3284" s="10" t="str">
        <f>"644020240516143252183436"</f>
        <v>644020240516143252183436</v>
      </c>
      <c r="F3284" s="9"/>
    </row>
    <row r="3285" s="2" customFormat="1" ht="30" customHeight="1" spans="1:6">
      <c r="A3285" s="9">
        <v>3282</v>
      </c>
      <c r="B3285" s="10" t="s">
        <v>2825</v>
      </c>
      <c r="C3285" s="10" t="s">
        <v>2826</v>
      </c>
      <c r="D3285" s="10" t="s">
        <v>3236</v>
      </c>
      <c r="E3285" s="10" t="str">
        <f>"644020240515112114181212"</f>
        <v>644020240515112114181212</v>
      </c>
      <c r="F3285" s="9"/>
    </row>
    <row r="3286" s="2" customFormat="1" ht="30" customHeight="1" spans="1:6">
      <c r="A3286" s="9">
        <v>3283</v>
      </c>
      <c r="B3286" s="10" t="s">
        <v>2825</v>
      </c>
      <c r="C3286" s="10" t="s">
        <v>2826</v>
      </c>
      <c r="D3286" s="10" t="s">
        <v>3237</v>
      </c>
      <c r="E3286" s="10" t="str">
        <f>"644020240515164520181918"</f>
        <v>644020240515164520181918</v>
      </c>
      <c r="F3286" s="9"/>
    </row>
    <row r="3287" s="2" customFormat="1" ht="30" customHeight="1" spans="1:6">
      <c r="A3287" s="9">
        <v>3284</v>
      </c>
      <c r="B3287" s="10" t="s">
        <v>2825</v>
      </c>
      <c r="C3287" s="10" t="s">
        <v>2826</v>
      </c>
      <c r="D3287" s="10" t="s">
        <v>3238</v>
      </c>
      <c r="E3287" s="10" t="str">
        <f>"644020240516151823183525"</f>
        <v>644020240516151823183525</v>
      </c>
      <c r="F3287" s="9"/>
    </row>
    <row r="3288" s="2" customFormat="1" ht="30" customHeight="1" spans="1:6">
      <c r="A3288" s="9">
        <v>3285</v>
      </c>
      <c r="B3288" s="10" t="s">
        <v>2825</v>
      </c>
      <c r="C3288" s="10" t="s">
        <v>2826</v>
      </c>
      <c r="D3288" s="10" t="s">
        <v>3239</v>
      </c>
      <c r="E3288" s="10" t="str">
        <f>"644020240513091507172639"</f>
        <v>644020240513091507172639</v>
      </c>
      <c r="F3288" s="9"/>
    </row>
    <row r="3289" s="2" customFormat="1" ht="30" customHeight="1" spans="1:6">
      <c r="A3289" s="9">
        <v>3286</v>
      </c>
      <c r="B3289" s="10" t="s">
        <v>2825</v>
      </c>
      <c r="C3289" s="10" t="s">
        <v>2826</v>
      </c>
      <c r="D3289" s="10" t="s">
        <v>3240</v>
      </c>
      <c r="E3289" s="10" t="str">
        <f>"644020240515095237180924"</f>
        <v>644020240515095237180924</v>
      </c>
      <c r="F3289" s="9"/>
    </row>
    <row r="3290" s="2" customFormat="1" ht="30" customHeight="1" spans="1:6">
      <c r="A3290" s="9">
        <v>3287</v>
      </c>
      <c r="B3290" s="10" t="s">
        <v>2825</v>
      </c>
      <c r="C3290" s="10" t="s">
        <v>2826</v>
      </c>
      <c r="D3290" s="10" t="s">
        <v>3241</v>
      </c>
      <c r="E3290" s="10" t="str">
        <f>"644020240513232724177572"</f>
        <v>644020240513232724177572</v>
      </c>
      <c r="F3290" s="9"/>
    </row>
    <row r="3291" s="2" customFormat="1" ht="30" customHeight="1" spans="1:6">
      <c r="A3291" s="9">
        <v>3288</v>
      </c>
      <c r="B3291" s="10" t="s">
        <v>2825</v>
      </c>
      <c r="C3291" s="10" t="s">
        <v>2826</v>
      </c>
      <c r="D3291" s="10" t="s">
        <v>3242</v>
      </c>
      <c r="E3291" s="10" t="str">
        <f>"644020240516161407183647"</f>
        <v>644020240516161407183647</v>
      </c>
      <c r="F3291" s="9"/>
    </row>
    <row r="3292" s="2" customFormat="1" ht="30" customHeight="1" spans="1:6">
      <c r="A3292" s="9">
        <v>3289</v>
      </c>
      <c r="B3292" s="10" t="s">
        <v>2825</v>
      </c>
      <c r="C3292" s="10" t="s">
        <v>2826</v>
      </c>
      <c r="D3292" s="10" t="s">
        <v>3243</v>
      </c>
      <c r="E3292" s="10" t="str">
        <f>"644020240516173515183842"</f>
        <v>644020240516173515183842</v>
      </c>
      <c r="F3292" s="9"/>
    </row>
    <row r="3293" s="2" customFormat="1" ht="30" customHeight="1" spans="1:6">
      <c r="A3293" s="9">
        <v>3290</v>
      </c>
      <c r="B3293" s="10" t="s">
        <v>2825</v>
      </c>
      <c r="C3293" s="10" t="s">
        <v>2826</v>
      </c>
      <c r="D3293" s="10" t="s">
        <v>3244</v>
      </c>
      <c r="E3293" s="10" t="str">
        <f>"644020240513163640175976"</f>
        <v>644020240513163640175976</v>
      </c>
      <c r="F3293" s="9"/>
    </row>
    <row r="3294" s="2" customFormat="1" ht="30" customHeight="1" spans="1:6">
      <c r="A3294" s="9">
        <v>3291</v>
      </c>
      <c r="B3294" s="10" t="s">
        <v>2825</v>
      </c>
      <c r="C3294" s="10" t="s">
        <v>2826</v>
      </c>
      <c r="D3294" s="10" t="s">
        <v>3245</v>
      </c>
      <c r="E3294" s="10" t="str">
        <f>"644020240513155205175705"</f>
        <v>644020240513155205175705</v>
      </c>
      <c r="F3294" s="9"/>
    </row>
    <row r="3295" s="2" customFormat="1" ht="30" customHeight="1" spans="1:6">
      <c r="A3295" s="9">
        <v>3292</v>
      </c>
      <c r="B3295" s="10" t="s">
        <v>2825</v>
      </c>
      <c r="C3295" s="10" t="s">
        <v>2826</v>
      </c>
      <c r="D3295" s="10" t="s">
        <v>3246</v>
      </c>
      <c r="E3295" s="10" t="str">
        <f>"644020240516173624183845"</f>
        <v>644020240516173624183845</v>
      </c>
      <c r="F3295" s="9"/>
    </row>
    <row r="3296" s="2" customFormat="1" ht="30" customHeight="1" spans="1:6">
      <c r="A3296" s="9">
        <v>3293</v>
      </c>
      <c r="B3296" s="10" t="s">
        <v>2825</v>
      </c>
      <c r="C3296" s="10" t="s">
        <v>2826</v>
      </c>
      <c r="D3296" s="10" t="s">
        <v>3247</v>
      </c>
      <c r="E3296" s="10" t="str">
        <f>"644020240516161925183664"</f>
        <v>644020240516161925183664</v>
      </c>
      <c r="F3296" s="9"/>
    </row>
    <row r="3297" s="2" customFormat="1" ht="30" customHeight="1" spans="1:6">
      <c r="A3297" s="9">
        <v>3294</v>
      </c>
      <c r="B3297" s="10" t="s">
        <v>2825</v>
      </c>
      <c r="C3297" s="10" t="s">
        <v>2826</v>
      </c>
      <c r="D3297" s="10" t="s">
        <v>3248</v>
      </c>
      <c r="E3297" s="10" t="str">
        <f>"644020240514152015179266"</f>
        <v>644020240514152015179266</v>
      </c>
      <c r="F3297" s="9"/>
    </row>
    <row r="3298" s="2" customFormat="1" ht="30" customHeight="1" spans="1:6">
      <c r="A3298" s="9">
        <v>3295</v>
      </c>
      <c r="B3298" s="10" t="s">
        <v>2825</v>
      </c>
      <c r="C3298" s="10" t="s">
        <v>2826</v>
      </c>
      <c r="D3298" s="10" t="s">
        <v>3249</v>
      </c>
      <c r="E3298" s="10" t="str">
        <f>"644020240516182020183916"</f>
        <v>644020240516182020183916</v>
      </c>
      <c r="F3298" s="9"/>
    </row>
    <row r="3299" s="2" customFormat="1" ht="30" customHeight="1" spans="1:6">
      <c r="A3299" s="9">
        <v>3296</v>
      </c>
      <c r="B3299" s="10" t="s">
        <v>2825</v>
      </c>
      <c r="C3299" s="10" t="s">
        <v>2826</v>
      </c>
      <c r="D3299" s="10" t="s">
        <v>3250</v>
      </c>
      <c r="E3299" s="10" t="str">
        <f>"644020240516182439183922"</f>
        <v>644020240516182439183922</v>
      </c>
      <c r="F3299" s="9"/>
    </row>
    <row r="3300" s="2" customFormat="1" ht="30" customHeight="1" spans="1:6">
      <c r="A3300" s="9">
        <v>3297</v>
      </c>
      <c r="B3300" s="10" t="s">
        <v>2825</v>
      </c>
      <c r="C3300" s="10" t="s">
        <v>2826</v>
      </c>
      <c r="D3300" s="10" t="s">
        <v>3251</v>
      </c>
      <c r="E3300" s="10" t="str">
        <f>"644020240515134054181484"</f>
        <v>644020240515134054181484</v>
      </c>
      <c r="F3300" s="9"/>
    </row>
    <row r="3301" s="2" customFormat="1" ht="30" customHeight="1" spans="1:6">
      <c r="A3301" s="9">
        <v>3298</v>
      </c>
      <c r="B3301" s="10" t="s">
        <v>2825</v>
      </c>
      <c r="C3301" s="10" t="s">
        <v>2826</v>
      </c>
      <c r="D3301" s="10" t="s">
        <v>3252</v>
      </c>
      <c r="E3301" s="10" t="str">
        <f>"644020240513203939176878"</f>
        <v>644020240513203939176878</v>
      </c>
      <c r="F3301" s="9"/>
    </row>
    <row r="3302" s="2" customFormat="1" ht="30" customHeight="1" spans="1:6">
      <c r="A3302" s="9">
        <v>3299</v>
      </c>
      <c r="B3302" s="10" t="s">
        <v>2825</v>
      </c>
      <c r="C3302" s="10" t="s">
        <v>2826</v>
      </c>
      <c r="D3302" s="10" t="s">
        <v>3253</v>
      </c>
      <c r="E3302" s="10" t="str">
        <f>"644020240515230721182523"</f>
        <v>644020240515230721182523</v>
      </c>
      <c r="F3302" s="9"/>
    </row>
    <row r="3303" s="2" customFormat="1" ht="30" customHeight="1" spans="1:6">
      <c r="A3303" s="9">
        <v>3300</v>
      </c>
      <c r="B3303" s="10" t="s">
        <v>2825</v>
      </c>
      <c r="C3303" s="10" t="s">
        <v>2826</v>
      </c>
      <c r="D3303" s="10" t="s">
        <v>3254</v>
      </c>
      <c r="E3303" s="10" t="str">
        <f>"644020240516152551183541"</f>
        <v>644020240516152551183541</v>
      </c>
      <c r="F3303" s="9"/>
    </row>
    <row r="3304" s="2" customFormat="1" ht="30" customHeight="1" spans="1:6">
      <c r="A3304" s="9">
        <v>3301</v>
      </c>
      <c r="B3304" s="10" t="s">
        <v>2825</v>
      </c>
      <c r="C3304" s="10" t="s">
        <v>2826</v>
      </c>
      <c r="D3304" s="10" t="s">
        <v>3255</v>
      </c>
      <c r="E3304" s="10" t="str">
        <f>"644020240516203540184077"</f>
        <v>644020240516203540184077</v>
      </c>
      <c r="F3304" s="9"/>
    </row>
    <row r="3305" s="2" customFormat="1" ht="30" customHeight="1" spans="1:6">
      <c r="A3305" s="9">
        <v>3302</v>
      </c>
      <c r="B3305" s="10" t="s">
        <v>2825</v>
      </c>
      <c r="C3305" s="10" t="s">
        <v>2826</v>
      </c>
      <c r="D3305" s="10" t="s">
        <v>3256</v>
      </c>
      <c r="E3305" s="10" t="str">
        <f>"644020240515120402181330"</f>
        <v>644020240515120402181330</v>
      </c>
      <c r="F3305" s="9"/>
    </row>
    <row r="3306" s="2" customFormat="1" ht="30" customHeight="1" spans="1:6">
      <c r="A3306" s="9">
        <v>3303</v>
      </c>
      <c r="B3306" s="10" t="s">
        <v>2825</v>
      </c>
      <c r="C3306" s="10" t="s">
        <v>2826</v>
      </c>
      <c r="D3306" s="10" t="s">
        <v>3257</v>
      </c>
      <c r="E3306" s="10" t="str">
        <f>"644020240516212757184130"</f>
        <v>644020240516212757184130</v>
      </c>
      <c r="F3306" s="9"/>
    </row>
    <row r="3307" s="2" customFormat="1" ht="30" customHeight="1" spans="1:6">
      <c r="A3307" s="9">
        <v>3304</v>
      </c>
      <c r="B3307" s="10" t="s">
        <v>2825</v>
      </c>
      <c r="C3307" s="10" t="s">
        <v>2826</v>
      </c>
      <c r="D3307" s="10" t="s">
        <v>3258</v>
      </c>
      <c r="E3307" s="10" t="str">
        <f>"644020240513171532176168"</f>
        <v>644020240513171532176168</v>
      </c>
      <c r="F3307" s="9"/>
    </row>
    <row r="3308" s="2" customFormat="1" ht="30" customHeight="1" spans="1:6">
      <c r="A3308" s="9">
        <v>3305</v>
      </c>
      <c r="B3308" s="10" t="s">
        <v>2825</v>
      </c>
      <c r="C3308" s="10" t="s">
        <v>2826</v>
      </c>
      <c r="D3308" s="10" t="s">
        <v>3259</v>
      </c>
      <c r="E3308" s="10" t="str">
        <f>"644020240516213507184154"</f>
        <v>644020240516213507184154</v>
      </c>
      <c r="F3308" s="9"/>
    </row>
    <row r="3309" s="2" customFormat="1" ht="30" customHeight="1" spans="1:6">
      <c r="A3309" s="9">
        <v>3306</v>
      </c>
      <c r="B3309" s="10" t="s">
        <v>2825</v>
      </c>
      <c r="C3309" s="10" t="s">
        <v>2826</v>
      </c>
      <c r="D3309" s="10" t="s">
        <v>3260</v>
      </c>
      <c r="E3309" s="10" t="str">
        <f>"644020240516203056184060"</f>
        <v>644020240516203056184060</v>
      </c>
      <c r="F3309" s="9"/>
    </row>
    <row r="3310" s="2" customFormat="1" ht="30" customHeight="1" spans="1:6">
      <c r="A3310" s="9">
        <v>3307</v>
      </c>
      <c r="B3310" s="10" t="s">
        <v>2825</v>
      </c>
      <c r="C3310" s="10" t="s">
        <v>2826</v>
      </c>
      <c r="D3310" s="10" t="s">
        <v>3261</v>
      </c>
      <c r="E3310" s="10" t="str">
        <f>"644020240516162752183690"</f>
        <v>644020240516162752183690</v>
      </c>
      <c r="F3310" s="9"/>
    </row>
    <row r="3311" s="2" customFormat="1" ht="30" customHeight="1" spans="1:6">
      <c r="A3311" s="9">
        <v>3308</v>
      </c>
      <c r="B3311" s="10" t="s">
        <v>2825</v>
      </c>
      <c r="C3311" s="10" t="s">
        <v>2826</v>
      </c>
      <c r="D3311" s="10" t="s">
        <v>3262</v>
      </c>
      <c r="E3311" s="10" t="str">
        <f>"644020240516230817184373"</f>
        <v>644020240516230817184373</v>
      </c>
      <c r="F3311" s="9"/>
    </row>
    <row r="3312" s="2" customFormat="1" ht="30" customHeight="1" spans="1:6">
      <c r="A3312" s="9">
        <v>3309</v>
      </c>
      <c r="B3312" s="10" t="s">
        <v>2825</v>
      </c>
      <c r="C3312" s="10" t="s">
        <v>2826</v>
      </c>
      <c r="D3312" s="10" t="s">
        <v>3263</v>
      </c>
      <c r="E3312" s="10" t="str">
        <f>"644020240516222625184284"</f>
        <v>644020240516222625184284</v>
      </c>
      <c r="F3312" s="9"/>
    </row>
    <row r="3313" s="2" customFormat="1" ht="30" customHeight="1" spans="1:6">
      <c r="A3313" s="9">
        <v>3310</v>
      </c>
      <c r="B3313" s="10" t="s">
        <v>2825</v>
      </c>
      <c r="C3313" s="10" t="s">
        <v>2826</v>
      </c>
      <c r="D3313" s="10" t="s">
        <v>3264</v>
      </c>
      <c r="E3313" s="10" t="str">
        <f>"644020240516224131184315"</f>
        <v>644020240516224131184315</v>
      </c>
      <c r="F3313" s="9"/>
    </row>
    <row r="3314" s="2" customFormat="1" ht="30" customHeight="1" spans="1:6">
      <c r="A3314" s="9">
        <v>3311</v>
      </c>
      <c r="B3314" s="10" t="s">
        <v>2825</v>
      </c>
      <c r="C3314" s="10" t="s">
        <v>2826</v>
      </c>
      <c r="D3314" s="10" t="s">
        <v>3265</v>
      </c>
      <c r="E3314" s="10" t="str">
        <f>"644020240515134417181492"</f>
        <v>644020240515134417181492</v>
      </c>
      <c r="F3314" s="9"/>
    </row>
    <row r="3315" s="2" customFormat="1" ht="30" customHeight="1" spans="1:6">
      <c r="A3315" s="9">
        <v>3312</v>
      </c>
      <c r="B3315" s="10" t="s">
        <v>2825</v>
      </c>
      <c r="C3315" s="10" t="s">
        <v>2826</v>
      </c>
      <c r="D3315" s="10" t="s">
        <v>3266</v>
      </c>
      <c r="E3315" s="10" t="str">
        <f>"644020240514135308179062"</f>
        <v>644020240514135308179062</v>
      </c>
      <c r="F3315" s="9"/>
    </row>
    <row r="3316" s="2" customFormat="1" ht="30" customHeight="1" spans="1:6">
      <c r="A3316" s="9">
        <v>3313</v>
      </c>
      <c r="B3316" s="10" t="s">
        <v>2825</v>
      </c>
      <c r="C3316" s="10" t="s">
        <v>2826</v>
      </c>
      <c r="D3316" s="10" t="s">
        <v>3267</v>
      </c>
      <c r="E3316" s="10" t="str">
        <f>"644020240512191853170560"</f>
        <v>644020240512191853170560</v>
      </c>
      <c r="F3316" s="9"/>
    </row>
    <row r="3317" s="2" customFormat="1" ht="30" customHeight="1" spans="1:6">
      <c r="A3317" s="9">
        <v>3314</v>
      </c>
      <c r="B3317" s="10" t="s">
        <v>2825</v>
      </c>
      <c r="C3317" s="10" t="s">
        <v>2826</v>
      </c>
      <c r="D3317" s="10" t="s">
        <v>3268</v>
      </c>
      <c r="E3317" s="10" t="str">
        <f>"644020240516213135184142"</f>
        <v>644020240516213135184142</v>
      </c>
      <c r="F3317" s="9"/>
    </row>
    <row r="3318" s="2" customFormat="1" ht="30" customHeight="1" spans="1:6">
      <c r="A3318" s="9">
        <v>3315</v>
      </c>
      <c r="B3318" s="10" t="s">
        <v>2825</v>
      </c>
      <c r="C3318" s="10" t="s">
        <v>2826</v>
      </c>
      <c r="D3318" s="10" t="s">
        <v>3269</v>
      </c>
      <c r="E3318" s="10" t="str">
        <f>"644020240516232937184412"</f>
        <v>644020240516232937184412</v>
      </c>
      <c r="F3318" s="9"/>
    </row>
    <row r="3319" s="2" customFormat="1" ht="30" customHeight="1" spans="1:6">
      <c r="A3319" s="9">
        <v>3316</v>
      </c>
      <c r="B3319" s="10" t="s">
        <v>2825</v>
      </c>
      <c r="C3319" s="10" t="s">
        <v>2826</v>
      </c>
      <c r="D3319" s="10" t="s">
        <v>3270</v>
      </c>
      <c r="E3319" s="10" t="str">
        <f>"644020240517002622184493"</f>
        <v>644020240517002622184493</v>
      </c>
      <c r="F3319" s="9"/>
    </row>
    <row r="3320" s="2" customFormat="1" ht="30" customHeight="1" spans="1:6">
      <c r="A3320" s="9">
        <v>3317</v>
      </c>
      <c r="B3320" s="10" t="s">
        <v>2825</v>
      </c>
      <c r="C3320" s="10" t="s">
        <v>2826</v>
      </c>
      <c r="D3320" s="10" t="s">
        <v>3271</v>
      </c>
      <c r="E3320" s="10" t="str">
        <f>"644020240513211142177006"</f>
        <v>644020240513211142177006</v>
      </c>
      <c r="F3320" s="9"/>
    </row>
    <row r="3321" s="2" customFormat="1" ht="30" customHeight="1" spans="1:6">
      <c r="A3321" s="9">
        <v>3318</v>
      </c>
      <c r="B3321" s="10" t="s">
        <v>2825</v>
      </c>
      <c r="C3321" s="10" t="s">
        <v>2826</v>
      </c>
      <c r="D3321" s="10" t="s">
        <v>3272</v>
      </c>
      <c r="E3321" s="10" t="str">
        <f>"644020240512112023168834"</f>
        <v>644020240512112023168834</v>
      </c>
      <c r="F3321" s="9"/>
    </row>
    <row r="3322" s="2" customFormat="1" ht="30" customHeight="1" spans="1:6">
      <c r="A3322" s="9">
        <v>3319</v>
      </c>
      <c r="B3322" s="10" t="s">
        <v>2825</v>
      </c>
      <c r="C3322" s="10" t="s">
        <v>2826</v>
      </c>
      <c r="D3322" s="10" t="s">
        <v>3273</v>
      </c>
      <c r="E3322" s="10" t="str">
        <f>"644020240516000312182629"</f>
        <v>644020240516000312182629</v>
      </c>
      <c r="F3322" s="9"/>
    </row>
    <row r="3323" s="2" customFormat="1" ht="30" customHeight="1" spans="1:6">
      <c r="A3323" s="9">
        <v>3320</v>
      </c>
      <c r="B3323" s="10" t="s">
        <v>2825</v>
      </c>
      <c r="C3323" s="10" t="s">
        <v>2826</v>
      </c>
      <c r="D3323" s="10" t="s">
        <v>3274</v>
      </c>
      <c r="E3323" s="10" t="str">
        <f>"644020240515144401181585"</f>
        <v>644020240515144401181585</v>
      </c>
      <c r="F3323" s="9"/>
    </row>
    <row r="3324" s="2" customFormat="1" ht="30" customHeight="1" spans="1:6">
      <c r="A3324" s="9">
        <v>3321</v>
      </c>
      <c r="B3324" s="10" t="s">
        <v>2825</v>
      </c>
      <c r="C3324" s="10" t="s">
        <v>2826</v>
      </c>
      <c r="D3324" s="10" t="s">
        <v>3275</v>
      </c>
      <c r="E3324" s="10" t="str">
        <f>"644020240513152026175372"</f>
        <v>644020240513152026175372</v>
      </c>
      <c r="F3324" s="9"/>
    </row>
    <row r="3325" s="2" customFormat="1" ht="30" customHeight="1" spans="1:6">
      <c r="A3325" s="9">
        <v>3322</v>
      </c>
      <c r="B3325" s="10" t="s">
        <v>2825</v>
      </c>
      <c r="C3325" s="10" t="s">
        <v>2826</v>
      </c>
      <c r="D3325" s="10" t="s">
        <v>3276</v>
      </c>
      <c r="E3325" s="10" t="str">
        <f>"644020240515170109181958"</f>
        <v>644020240515170109181958</v>
      </c>
      <c r="F3325" s="9"/>
    </row>
    <row r="3326" s="2" customFormat="1" ht="30" customHeight="1" spans="1:6">
      <c r="A3326" s="9">
        <v>3323</v>
      </c>
      <c r="B3326" s="10" t="s">
        <v>2825</v>
      </c>
      <c r="C3326" s="10" t="s">
        <v>2826</v>
      </c>
      <c r="D3326" s="10" t="s">
        <v>3277</v>
      </c>
      <c r="E3326" s="10" t="str">
        <f>"644020240517082036184618"</f>
        <v>644020240517082036184618</v>
      </c>
      <c r="F3326" s="9"/>
    </row>
    <row r="3327" s="2" customFormat="1" ht="30" customHeight="1" spans="1:6">
      <c r="A3327" s="9">
        <v>3324</v>
      </c>
      <c r="B3327" s="10" t="s">
        <v>2825</v>
      </c>
      <c r="C3327" s="10" t="s">
        <v>2826</v>
      </c>
      <c r="D3327" s="10" t="s">
        <v>3278</v>
      </c>
      <c r="E3327" s="10" t="str">
        <f>"644020240517090938184707"</f>
        <v>644020240517090938184707</v>
      </c>
      <c r="F3327" s="9"/>
    </row>
    <row r="3328" s="2" customFormat="1" ht="30" customHeight="1" spans="1:6">
      <c r="A3328" s="9">
        <v>3325</v>
      </c>
      <c r="B3328" s="10" t="s">
        <v>2825</v>
      </c>
      <c r="C3328" s="10" t="s">
        <v>2826</v>
      </c>
      <c r="D3328" s="10" t="s">
        <v>3279</v>
      </c>
      <c r="E3328" s="10" t="str">
        <f>"644020240517093529184760"</f>
        <v>644020240517093529184760</v>
      </c>
      <c r="F3328" s="9"/>
    </row>
    <row r="3329" s="2" customFormat="1" ht="30" customHeight="1" spans="1:6">
      <c r="A3329" s="9">
        <v>3326</v>
      </c>
      <c r="B3329" s="10" t="s">
        <v>2825</v>
      </c>
      <c r="C3329" s="10" t="s">
        <v>2826</v>
      </c>
      <c r="D3329" s="10" t="s">
        <v>3280</v>
      </c>
      <c r="E3329" s="10" t="str">
        <f>"644020240517084908184666"</f>
        <v>644020240517084908184666</v>
      </c>
      <c r="F3329" s="9"/>
    </row>
    <row r="3330" s="2" customFormat="1" ht="30" customHeight="1" spans="1:6">
      <c r="A3330" s="9">
        <v>3327</v>
      </c>
      <c r="B3330" s="10" t="s">
        <v>2825</v>
      </c>
      <c r="C3330" s="10" t="s">
        <v>2826</v>
      </c>
      <c r="D3330" s="10" t="s">
        <v>3281</v>
      </c>
      <c r="E3330" s="10" t="str">
        <f>"644020240517103258184883"</f>
        <v>644020240517103258184883</v>
      </c>
      <c r="F3330" s="9"/>
    </row>
    <row r="3331" s="2" customFormat="1" ht="30" customHeight="1" spans="1:6">
      <c r="A3331" s="9">
        <v>3328</v>
      </c>
      <c r="B3331" s="10" t="s">
        <v>2825</v>
      </c>
      <c r="C3331" s="10" t="s">
        <v>2826</v>
      </c>
      <c r="D3331" s="10" t="s">
        <v>3282</v>
      </c>
      <c r="E3331" s="10" t="str">
        <f>"644020240517101051184837"</f>
        <v>644020240517101051184837</v>
      </c>
      <c r="F3331" s="9"/>
    </row>
    <row r="3332" s="2" customFormat="1" ht="30" customHeight="1" spans="1:6">
      <c r="A3332" s="9">
        <v>3329</v>
      </c>
      <c r="B3332" s="10" t="s">
        <v>2825</v>
      </c>
      <c r="C3332" s="10" t="s">
        <v>2826</v>
      </c>
      <c r="D3332" s="10" t="s">
        <v>3283</v>
      </c>
      <c r="E3332" s="10" t="str">
        <f>"644020240516171457183801"</f>
        <v>644020240516171457183801</v>
      </c>
      <c r="F3332" s="9"/>
    </row>
    <row r="3333" s="2" customFormat="1" ht="30" customHeight="1" spans="1:6">
      <c r="A3333" s="9">
        <v>3330</v>
      </c>
      <c r="B3333" s="10" t="s">
        <v>2825</v>
      </c>
      <c r="C3333" s="10" t="s">
        <v>2826</v>
      </c>
      <c r="D3333" s="10" t="s">
        <v>3284</v>
      </c>
      <c r="E3333" s="10" t="str">
        <f>"644020240516162302183670"</f>
        <v>644020240516162302183670</v>
      </c>
      <c r="F3333" s="9"/>
    </row>
    <row r="3334" s="2" customFormat="1" ht="30" customHeight="1" spans="1:6">
      <c r="A3334" s="9">
        <v>3331</v>
      </c>
      <c r="B3334" s="10" t="s">
        <v>2825</v>
      </c>
      <c r="C3334" s="10" t="s">
        <v>2826</v>
      </c>
      <c r="D3334" s="10" t="s">
        <v>3285</v>
      </c>
      <c r="E3334" s="10" t="str">
        <f>"644020240512093645168274"</f>
        <v>644020240512093645168274</v>
      </c>
      <c r="F3334" s="9"/>
    </row>
    <row r="3335" s="2" customFormat="1" ht="30" customHeight="1" spans="1:6">
      <c r="A3335" s="9">
        <v>3332</v>
      </c>
      <c r="B3335" s="10" t="s">
        <v>2825</v>
      </c>
      <c r="C3335" s="10" t="s">
        <v>2826</v>
      </c>
      <c r="D3335" s="10" t="s">
        <v>3286</v>
      </c>
      <c r="E3335" s="10" t="str">
        <f>"644020240514130653178977"</f>
        <v>644020240514130653178977</v>
      </c>
      <c r="F3335" s="9"/>
    </row>
    <row r="3336" s="2" customFormat="1" ht="30" customHeight="1" spans="1:6">
      <c r="A3336" s="9">
        <v>3333</v>
      </c>
      <c r="B3336" s="10" t="s">
        <v>2825</v>
      </c>
      <c r="C3336" s="10" t="s">
        <v>2826</v>
      </c>
      <c r="D3336" s="10" t="s">
        <v>3287</v>
      </c>
      <c r="E3336" s="10" t="str">
        <f>"644020240517104718184921"</f>
        <v>644020240517104718184921</v>
      </c>
      <c r="F3336" s="9"/>
    </row>
    <row r="3337" s="2" customFormat="1" ht="30" customHeight="1" spans="1:6">
      <c r="A3337" s="9">
        <v>3334</v>
      </c>
      <c r="B3337" s="10" t="s">
        <v>2825</v>
      </c>
      <c r="C3337" s="10" t="s">
        <v>2826</v>
      </c>
      <c r="D3337" s="10" t="s">
        <v>3288</v>
      </c>
      <c r="E3337" s="10" t="str">
        <f>"644020240517112419185010"</f>
        <v>644020240517112419185010</v>
      </c>
      <c r="F3337" s="9"/>
    </row>
    <row r="3338" s="2" customFormat="1" ht="30" customHeight="1" spans="1:6">
      <c r="A3338" s="9">
        <v>3335</v>
      </c>
      <c r="B3338" s="10" t="s">
        <v>2825</v>
      </c>
      <c r="C3338" s="10" t="s">
        <v>2826</v>
      </c>
      <c r="D3338" s="10" t="s">
        <v>3289</v>
      </c>
      <c r="E3338" s="10" t="str">
        <f>"644020240517101917184862"</f>
        <v>644020240517101917184862</v>
      </c>
      <c r="F3338" s="9"/>
    </row>
    <row r="3339" s="2" customFormat="1" ht="30" customHeight="1" spans="1:6">
      <c r="A3339" s="9">
        <v>3336</v>
      </c>
      <c r="B3339" s="10" t="s">
        <v>2825</v>
      </c>
      <c r="C3339" s="10" t="s">
        <v>2826</v>
      </c>
      <c r="D3339" s="10" t="s">
        <v>3290</v>
      </c>
      <c r="E3339" s="10" t="str">
        <f>"644020240517115209185062"</f>
        <v>644020240517115209185062</v>
      </c>
      <c r="F3339" s="9"/>
    </row>
    <row r="3340" s="2" customFormat="1" ht="30" customHeight="1" spans="1:6">
      <c r="A3340" s="9">
        <v>3337</v>
      </c>
      <c r="B3340" s="10" t="s">
        <v>2825</v>
      </c>
      <c r="C3340" s="10" t="s">
        <v>2826</v>
      </c>
      <c r="D3340" s="10" t="s">
        <v>3291</v>
      </c>
      <c r="E3340" s="10" t="str">
        <f>"644020240517122627185122"</f>
        <v>644020240517122627185122</v>
      </c>
      <c r="F3340" s="9"/>
    </row>
    <row r="3341" s="2" customFormat="1" ht="30" customHeight="1" spans="1:6">
      <c r="A3341" s="9">
        <v>3338</v>
      </c>
      <c r="B3341" s="10" t="s">
        <v>2825</v>
      </c>
      <c r="C3341" s="10" t="s">
        <v>2826</v>
      </c>
      <c r="D3341" s="10" t="s">
        <v>3292</v>
      </c>
      <c r="E3341" s="10" t="str">
        <f>"644020240516215617184203"</f>
        <v>644020240516215617184203</v>
      </c>
      <c r="F3341" s="9"/>
    </row>
    <row r="3342" s="2" customFormat="1" ht="30" customHeight="1" spans="1:6">
      <c r="A3342" s="9">
        <v>3339</v>
      </c>
      <c r="B3342" s="10" t="s">
        <v>2825</v>
      </c>
      <c r="C3342" s="10" t="s">
        <v>2826</v>
      </c>
      <c r="D3342" s="10" t="s">
        <v>3293</v>
      </c>
      <c r="E3342" s="10" t="str">
        <f>"644020240514115330178806"</f>
        <v>644020240514115330178806</v>
      </c>
      <c r="F3342" s="9"/>
    </row>
    <row r="3343" s="2" customFormat="1" ht="30" customHeight="1" spans="1:6">
      <c r="A3343" s="9">
        <v>3340</v>
      </c>
      <c r="B3343" s="10" t="s">
        <v>2825</v>
      </c>
      <c r="C3343" s="10" t="s">
        <v>2826</v>
      </c>
      <c r="D3343" s="10" t="s">
        <v>3294</v>
      </c>
      <c r="E3343" s="10" t="str">
        <f>"644020240516171406183800"</f>
        <v>644020240516171406183800</v>
      </c>
      <c r="F3343" s="9"/>
    </row>
    <row r="3344" s="2" customFormat="1" ht="30" customHeight="1" spans="1:6">
      <c r="A3344" s="9">
        <v>3341</v>
      </c>
      <c r="B3344" s="10" t="s">
        <v>2825</v>
      </c>
      <c r="C3344" s="10" t="s">
        <v>2826</v>
      </c>
      <c r="D3344" s="10" t="s">
        <v>3295</v>
      </c>
      <c r="E3344" s="10" t="str">
        <f>"644020240517013830184535"</f>
        <v>644020240517013830184535</v>
      </c>
      <c r="F3344" s="9"/>
    </row>
    <row r="3345" s="2" customFormat="1" ht="30" customHeight="1" spans="1:6">
      <c r="A3345" s="9">
        <v>3342</v>
      </c>
      <c r="B3345" s="10" t="s">
        <v>2825</v>
      </c>
      <c r="C3345" s="10" t="s">
        <v>2826</v>
      </c>
      <c r="D3345" s="10" t="s">
        <v>3296</v>
      </c>
      <c r="E3345" s="10" t="str">
        <f>"644020240516161728183660"</f>
        <v>644020240516161728183660</v>
      </c>
      <c r="F3345" s="9"/>
    </row>
    <row r="3346" s="2" customFormat="1" ht="30" customHeight="1" spans="1:6">
      <c r="A3346" s="9">
        <v>3343</v>
      </c>
      <c r="B3346" s="10" t="s">
        <v>2825</v>
      </c>
      <c r="C3346" s="10" t="s">
        <v>2826</v>
      </c>
      <c r="D3346" s="10" t="s">
        <v>3297</v>
      </c>
      <c r="E3346" s="10" t="str">
        <f>"644020240517123915185147"</f>
        <v>644020240517123915185147</v>
      </c>
      <c r="F3346" s="9"/>
    </row>
    <row r="3347" s="2" customFormat="1" ht="30" customHeight="1" spans="1:6">
      <c r="A3347" s="9">
        <v>3344</v>
      </c>
      <c r="B3347" s="10" t="s">
        <v>2825</v>
      </c>
      <c r="C3347" s="10" t="s">
        <v>2826</v>
      </c>
      <c r="D3347" s="10" t="s">
        <v>3298</v>
      </c>
      <c r="E3347" s="10" t="str">
        <f>"644020240516090232182810"</f>
        <v>644020240516090232182810</v>
      </c>
      <c r="F3347" s="9"/>
    </row>
    <row r="3348" s="2" customFormat="1" ht="30" customHeight="1" spans="1:6">
      <c r="A3348" s="9">
        <v>3345</v>
      </c>
      <c r="B3348" s="10" t="s">
        <v>2825</v>
      </c>
      <c r="C3348" s="10" t="s">
        <v>2826</v>
      </c>
      <c r="D3348" s="10" t="s">
        <v>1381</v>
      </c>
      <c r="E3348" s="10" t="str">
        <f>"644020240517124216185159"</f>
        <v>644020240517124216185159</v>
      </c>
      <c r="F3348" s="9"/>
    </row>
    <row r="3349" s="2" customFormat="1" ht="30" customHeight="1" spans="1:6">
      <c r="A3349" s="9">
        <v>3346</v>
      </c>
      <c r="B3349" s="10" t="s">
        <v>2825</v>
      </c>
      <c r="C3349" s="10" t="s">
        <v>2826</v>
      </c>
      <c r="D3349" s="10" t="s">
        <v>3299</v>
      </c>
      <c r="E3349" s="10" t="str">
        <f>"644020240512220649171363"</f>
        <v>644020240512220649171363</v>
      </c>
      <c r="F3349" s="9"/>
    </row>
    <row r="3350" s="2" customFormat="1" ht="30" customHeight="1" spans="1:6">
      <c r="A3350" s="9">
        <v>3347</v>
      </c>
      <c r="B3350" s="10" t="s">
        <v>2825</v>
      </c>
      <c r="C3350" s="10" t="s">
        <v>2826</v>
      </c>
      <c r="D3350" s="10" t="s">
        <v>3300</v>
      </c>
      <c r="E3350" s="10" t="str">
        <f>"644020240517132846185259"</f>
        <v>644020240517132846185259</v>
      </c>
      <c r="F3350" s="9"/>
    </row>
    <row r="3351" s="2" customFormat="1" ht="30" customHeight="1" spans="1:6">
      <c r="A3351" s="9">
        <v>3348</v>
      </c>
      <c r="B3351" s="10" t="s">
        <v>2825</v>
      </c>
      <c r="C3351" s="10" t="s">
        <v>2826</v>
      </c>
      <c r="D3351" s="10" t="s">
        <v>3301</v>
      </c>
      <c r="E3351" s="10" t="str">
        <f>"644020240517140610185317"</f>
        <v>644020240517140610185317</v>
      </c>
      <c r="F3351" s="9"/>
    </row>
    <row r="3352" s="2" customFormat="1" ht="30" customHeight="1" spans="1:6">
      <c r="A3352" s="9">
        <v>3349</v>
      </c>
      <c r="B3352" s="10" t="s">
        <v>2825</v>
      </c>
      <c r="C3352" s="10" t="s">
        <v>2826</v>
      </c>
      <c r="D3352" s="10" t="s">
        <v>3302</v>
      </c>
      <c r="E3352" s="10" t="str">
        <f>"644020240512114940168974"</f>
        <v>644020240512114940168974</v>
      </c>
      <c r="F3352" s="9"/>
    </row>
    <row r="3353" s="2" customFormat="1" ht="30" customHeight="1" spans="1:6">
      <c r="A3353" s="9">
        <v>3350</v>
      </c>
      <c r="B3353" s="10" t="s">
        <v>2825</v>
      </c>
      <c r="C3353" s="10" t="s">
        <v>2826</v>
      </c>
      <c r="D3353" s="10" t="s">
        <v>3303</v>
      </c>
      <c r="E3353" s="10" t="str">
        <f>"644020240514234528180548"</f>
        <v>644020240514234528180548</v>
      </c>
      <c r="F3353" s="9"/>
    </row>
    <row r="3354" s="2" customFormat="1" ht="30" customHeight="1" spans="1:6">
      <c r="A3354" s="9">
        <v>3351</v>
      </c>
      <c r="B3354" s="10" t="s">
        <v>2825</v>
      </c>
      <c r="C3354" s="10" t="s">
        <v>2826</v>
      </c>
      <c r="D3354" s="10" t="s">
        <v>3304</v>
      </c>
      <c r="E3354" s="10" t="str">
        <f>"644020240514083312177861"</f>
        <v>644020240514083312177861</v>
      </c>
      <c r="F3354" s="9"/>
    </row>
    <row r="3355" s="2" customFormat="1" ht="30" customHeight="1" spans="1:6">
      <c r="A3355" s="9">
        <v>3352</v>
      </c>
      <c r="B3355" s="10" t="s">
        <v>2825</v>
      </c>
      <c r="C3355" s="10" t="s">
        <v>2826</v>
      </c>
      <c r="D3355" s="10" t="s">
        <v>3305</v>
      </c>
      <c r="E3355" s="10" t="str">
        <f>"644020240517145536185414"</f>
        <v>644020240517145536185414</v>
      </c>
      <c r="F3355" s="9"/>
    </row>
    <row r="3356" s="2" customFormat="1" ht="30" customHeight="1" spans="1:6">
      <c r="A3356" s="9">
        <v>3353</v>
      </c>
      <c r="B3356" s="10" t="s">
        <v>2825</v>
      </c>
      <c r="C3356" s="10" t="s">
        <v>2826</v>
      </c>
      <c r="D3356" s="10" t="s">
        <v>3306</v>
      </c>
      <c r="E3356" s="10" t="str">
        <f>"644020240516214638184185"</f>
        <v>644020240516214638184185</v>
      </c>
      <c r="F3356" s="9"/>
    </row>
    <row r="3357" s="2" customFormat="1" ht="30" customHeight="1" spans="1:6">
      <c r="A3357" s="9">
        <v>3354</v>
      </c>
      <c r="B3357" s="10" t="s">
        <v>2825</v>
      </c>
      <c r="C3357" s="10" t="s">
        <v>2826</v>
      </c>
      <c r="D3357" s="10" t="s">
        <v>3307</v>
      </c>
      <c r="E3357" s="10" t="str">
        <f>"644020240517125502185188"</f>
        <v>644020240517125502185188</v>
      </c>
      <c r="F3357" s="9"/>
    </row>
    <row r="3358" s="2" customFormat="1" ht="30" customHeight="1" spans="1:6">
      <c r="A3358" s="9">
        <v>3355</v>
      </c>
      <c r="B3358" s="10" t="s">
        <v>2825</v>
      </c>
      <c r="C3358" s="10" t="s">
        <v>2826</v>
      </c>
      <c r="D3358" s="10" t="s">
        <v>3308</v>
      </c>
      <c r="E3358" s="10" t="str">
        <f>"644020240515173042182010"</f>
        <v>644020240515173042182010</v>
      </c>
      <c r="F3358" s="9"/>
    </row>
    <row r="3359" s="2" customFormat="1" ht="30" customHeight="1" spans="1:6">
      <c r="A3359" s="9">
        <v>3356</v>
      </c>
      <c r="B3359" s="10" t="s">
        <v>2825</v>
      </c>
      <c r="C3359" s="10" t="s">
        <v>2826</v>
      </c>
      <c r="D3359" s="10" t="s">
        <v>3309</v>
      </c>
      <c r="E3359" s="10" t="str">
        <f>"644020240513073722172155"</f>
        <v>644020240513073722172155</v>
      </c>
      <c r="F3359" s="9"/>
    </row>
    <row r="3360" s="2" customFormat="1" ht="30" customHeight="1" spans="1:6">
      <c r="A3360" s="9">
        <v>3357</v>
      </c>
      <c r="B3360" s="10" t="s">
        <v>2825</v>
      </c>
      <c r="C3360" s="10" t="s">
        <v>2826</v>
      </c>
      <c r="D3360" s="10" t="s">
        <v>3310</v>
      </c>
      <c r="E3360" s="10" t="str">
        <f>"644020240516124711183310"</f>
        <v>644020240516124711183310</v>
      </c>
      <c r="F3360" s="9"/>
    </row>
    <row r="3361" s="2" customFormat="1" ht="30" customHeight="1" spans="1:6">
      <c r="A3361" s="9">
        <v>3358</v>
      </c>
      <c r="B3361" s="10" t="s">
        <v>2825</v>
      </c>
      <c r="C3361" s="10" t="s">
        <v>2826</v>
      </c>
      <c r="D3361" s="10" t="s">
        <v>3311</v>
      </c>
      <c r="E3361" s="10" t="str">
        <f>"644020240517154808185561"</f>
        <v>644020240517154808185561</v>
      </c>
      <c r="F3361" s="9"/>
    </row>
    <row r="3362" s="2" customFormat="1" ht="30" customHeight="1" spans="1:6">
      <c r="A3362" s="9">
        <v>3359</v>
      </c>
      <c r="B3362" s="10" t="s">
        <v>2825</v>
      </c>
      <c r="C3362" s="10" t="s">
        <v>2826</v>
      </c>
      <c r="D3362" s="10" t="s">
        <v>3312</v>
      </c>
      <c r="E3362" s="10" t="str">
        <f>"644020240514161047179429"</f>
        <v>644020240514161047179429</v>
      </c>
      <c r="F3362" s="9"/>
    </row>
    <row r="3363" s="2" customFormat="1" ht="30" customHeight="1" spans="1:6">
      <c r="A3363" s="9">
        <v>3360</v>
      </c>
      <c r="B3363" s="10" t="s">
        <v>2825</v>
      </c>
      <c r="C3363" s="10" t="s">
        <v>2826</v>
      </c>
      <c r="D3363" s="10" t="s">
        <v>3313</v>
      </c>
      <c r="E3363" s="10" t="str">
        <f>"644020240517154814185563"</f>
        <v>644020240517154814185563</v>
      </c>
      <c r="F3363" s="9"/>
    </row>
    <row r="3364" s="2" customFormat="1" ht="30" customHeight="1" spans="1:6">
      <c r="A3364" s="9">
        <v>3361</v>
      </c>
      <c r="B3364" s="10" t="s">
        <v>2825</v>
      </c>
      <c r="C3364" s="10" t="s">
        <v>2826</v>
      </c>
      <c r="D3364" s="10" t="s">
        <v>3314</v>
      </c>
      <c r="E3364" s="10" t="str">
        <f>"644020240517161413185621"</f>
        <v>644020240517161413185621</v>
      </c>
      <c r="F3364" s="9"/>
    </row>
    <row r="3365" s="2" customFormat="1" ht="30" customHeight="1" spans="1:6">
      <c r="A3365" s="9">
        <v>3362</v>
      </c>
      <c r="B3365" s="10" t="s">
        <v>2825</v>
      </c>
      <c r="C3365" s="10" t="s">
        <v>2826</v>
      </c>
      <c r="D3365" s="10" t="s">
        <v>3315</v>
      </c>
      <c r="E3365" s="10" t="str">
        <f>"644020240517110522184961"</f>
        <v>644020240517110522184961</v>
      </c>
      <c r="F3365" s="9"/>
    </row>
    <row r="3366" s="2" customFormat="1" ht="30" customHeight="1" spans="1:6">
      <c r="A3366" s="9">
        <v>3363</v>
      </c>
      <c r="B3366" s="10" t="s">
        <v>2825</v>
      </c>
      <c r="C3366" s="10" t="s">
        <v>2826</v>
      </c>
      <c r="D3366" s="10" t="s">
        <v>3316</v>
      </c>
      <c r="E3366" s="10" t="str">
        <f>"644020240516001342182646"</f>
        <v>644020240516001342182646</v>
      </c>
      <c r="F3366" s="9"/>
    </row>
    <row r="3367" s="2" customFormat="1" ht="30" customHeight="1" spans="1:6">
      <c r="A3367" s="9">
        <v>3364</v>
      </c>
      <c r="B3367" s="10" t="s">
        <v>2825</v>
      </c>
      <c r="C3367" s="10" t="s">
        <v>2826</v>
      </c>
      <c r="D3367" s="10" t="s">
        <v>3317</v>
      </c>
      <c r="E3367" s="10" t="str">
        <f>"644020240517145242185406"</f>
        <v>644020240517145242185406</v>
      </c>
      <c r="F3367" s="9"/>
    </row>
    <row r="3368" s="2" customFormat="1" ht="30" customHeight="1" spans="1:6">
      <c r="A3368" s="9">
        <v>3365</v>
      </c>
      <c r="B3368" s="10" t="s">
        <v>2825</v>
      </c>
      <c r="C3368" s="10" t="s">
        <v>2826</v>
      </c>
      <c r="D3368" s="10" t="s">
        <v>3318</v>
      </c>
      <c r="E3368" s="10" t="str">
        <f>"644020240517143609185374"</f>
        <v>644020240517143609185374</v>
      </c>
      <c r="F3368" s="9"/>
    </row>
    <row r="3369" s="2" customFormat="1" ht="30" customHeight="1" spans="1:6">
      <c r="A3369" s="9">
        <v>3366</v>
      </c>
      <c r="B3369" s="10" t="s">
        <v>2825</v>
      </c>
      <c r="C3369" s="10" t="s">
        <v>2826</v>
      </c>
      <c r="D3369" s="10" t="s">
        <v>3319</v>
      </c>
      <c r="E3369" s="10" t="str">
        <f>"644020240517170934185717"</f>
        <v>644020240517170934185717</v>
      </c>
      <c r="F3369" s="9"/>
    </row>
    <row r="3370" s="2" customFormat="1" ht="30" customHeight="1" spans="1:6">
      <c r="A3370" s="9">
        <v>3367</v>
      </c>
      <c r="B3370" s="10" t="s">
        <v>2825</v>
      </c>
      <c r="C3370" s="10" t="s">
        <v>2826</v>
      </c>
      <c r="D3370" s="10" t="s">
        <v>3320</v>
      </c>
      <c r="E3370" s="10" t="str">
        <f>"644020240516145829183478"</f>
        <v>644020240516145829183478</v>
      </c>
      <c r="F3370" s="9"/>
    </row>
    <row r="3371" s="2" customFormat="1" ht="30" customHeight="1" spans="1:6">
      <c r="A3371" s="9">
        <v>3368</v>
      </c>
      <c r="B3371" s="10" t="s">
        <v>2825</v>
      </c>
      <c r="C3371" s="10" t="s">
        <v>2826</v>
      </c>
      <c r="D3371" s="10" t="s">
        <v>3321</v>
      </c>
      <c r="E3371" s="10" t="str">
        <f>"644020240517155535185580"</f>
        <v>644020240517155535185580</v>
      </c>
      <c r="F3371" s="9"/>
    </row>
    <row r="3372" s="2" customFormat="1" ht="30" customHeight="1" spans="1:6">
      <c r="A3372" s="9">
        <v>3369</v>
      </c>
      <c r="B3372" s="10" t="s">
        <v>2825</v>
      </c>
      <c r="C3372" s="10" t="s">
        <v>2826</v>
      </c>
      <c r="D3372" s="10" t="s">
        <v>3322</v>
      </c>
      <c r="E3372" s="10" t="str">
        <f>"644020240517080652184604"</f>
        <v>644020240517080652184604</v>
      </c>
      <c r="F3372" s="9"/>
    </row>
    <row r="3373" s="2" customFormat="1" ht="30" customHeight="1" spans="1:6">
      <c r="A3373" s="9">
        <v>3370</v>
      </c>
      <c r="B3373" s="10" t="s">
        <v>2825</v>
      </c>
      <c r="C3373" s="10" t="s">
        <v>2826</v>
      </c>
      <c r="D3373" s="10" t="s">
        <v>3323</v>
      </c>
      <c r="E3373" s="10" t="str">
        <f>"644020240514103607178469"</f>
        <v>644020240514103607178469</v>
      </c>
      <c r="F3373" s="9"/>
    </row>
    <row r="3374" s="2" customFormat="1" ht="30" customHeight="1" spans="1:6">
      <c r="A3374" s="9">
        <v>3371</v>
      </c>
      <c r="B3374" s="10" t="s">
        <v>2825</v>
      </c>
      <c r="C3374" s="10" t="s">
        <v>2826</v>
      </c>
      <c r="D3374" s="10" t="s">
        <v>3324</v>
      </c>
      <c r="E3374" s="10" t="str">
        <f>"644020240517094034184764"</f>
        <v>644020240517094034184764</v>
      </c>
      <c r="F3374" s="9"/>
    </row>
    <row r="3375" s="2" customFormat="1" ht="30" customHeight="1" spans="1:6">
      <c r="A3375" s="9">
        <v>3372</v>
      </c>
      <c r="B3375" s="10" t="s">
        <v>2825</v>
      </c>
      <c r="C3375" s="10" t="s">
        <v>2826</v>
      </c>
      <c r="D3375" s="10" t="s">
        <v>3325</v>
      </c>
      <c r="E3375" s="10" t="str">
        <f>"644020240517180501185802"</f>
        <v>644020240517180501185802</v>
      </c>
      <c r="F3375" s="9"/>
    </row>
    <row r="3376" s="2" customFormat="1" ht="30" customHeight="1" spans="1:6">
      <c r="A3376" s="9">
        <v>3373</v>
      </c>
      <c r="B3376" s="10" t="s">
        <v>2825</v>
      </c>
      <c r="C3376" s="10" t="s">
        <v>2826</v>
      </c>
      <c r="D3376" s="10" t="s">
        <v>3326</v>
      </c>
      <c r="E3376" s="10" t="str">
        <f>"644020240516225242184340"</f>
        <v>644020240516225242184340</v>
      </c>
      <c r="F3376" s="9"/>
    </row>
    <row r="3377" s="2" customFormat="1" ht="30" customHeight="1" spans="1:6">
      <c r="A3377" s="9">
        <v>3374</v>
      </c>
      <c r="B3377" s="10" t="s">
        <v>2825</v>
      </c>
      <c r="C3377" s="10" t="s">
        <v>2826</v>
      </c>
      <c r="D3377" s="10" t="s">
        <v>3327</v>
      </c>
      <c r="E3377" s="10" t="str">
        <f>"644020240517151033185448"</f>
        <v>644020240517151033185448</v>
      </c>
      <c r="F3377" s="9"/>
    </row>
    <row r="3378" s="2" customFormat="1" ht="30" customHeight="1" spans="1:6">
      <c r="A3378" s="9">
        <v>3375</v>
      </c>
      <c r="B3378" s="10" t="s">
        <v>2825</v>
      </c>
      <c r="C3378" s="10" t="s">
        <v>2826</v>
      </c>
      <c r="D3378" s="10" t="s">
        <v>3328</v>
      </c>
      <c r="E3378" s="10" t="str">
        <f>"644020240515125149181402"</f>
        <v>644020240515125149181402</v>
      </c>
      <c r="F3378" s="9"/>
    </row>
    <row r="3379" s="2" customFormat="1" ht="30" customHeight="1" spans="1:6">
      <c r="A3379" s="9">
        <v>3376</v>
      </c>
      <c r="B3379" s="10" t="s">
        <v>2825</v>
      </c>
      <c r="C3379" s="10" t="s">
        <v>2826</v>
      </c>
      <c r="D3379" s="10" t="s">
        <v>3329</v>
      </c>
      <c r="E3379" s="10" t="str">
        <f>"644020240516212707184125"</f>
        <v>644020240516212707184125</v>
      </c>
      <c r="F3379" s="9"/>
    </row>
    <row r="3380" s="2" customFormat="1" ht="30" customHeight="1" spans="1:6">
      <c r="A3380" s="9">
        <v>3377</v>
      </c>
      <c r="B3380" s="10" t="s">
        <v>2825</v>
      </c>
      <c r="C3380" s="10" t="s">
        <v>2826</v>
      </c>
      <c r="D3380" s="10" t="s">
        <v>3330</v>
      </c>
      <c r="E3380" s="10" t="str">
        <f>"644020240517110838184969"</f>
        <v>644020240517110838184969</v>
      </c>
      <c r="F3380" s="9"/>
    </row>
    <row r="3381" s="2" customFormat="1" ht="30" customHeight="1" spans="1:6">
      <c r="A3381" s="9">
        <v>3378</v>
      </c>
      <c r="B3381" s="10" t="s">
        <v>2825</v>
      </c>
      <c r="C3381" s="10" t="s">
        <v>2826</v>
      </c>
      <c r="D3381" s="10" t="s">
        <v>3331</v>
      </c>
      <c r="E3381" s="10" t="str">
        <f>"644020240517185429185862"</f>
        <v>644020240517185429185862</v>
      </c>
      <c r="F3381" s="9"/>
    </row>
    <row r="3382" s="2" customFormat="1" ht="30" customHeight="1" spans="1:6">
      <c r="A3382" s="9">
        <v>3379</v>
      </c>
      <c r="B3382" s="10" t="s">
        <v>2825</v>
      </c>
      <c r="C3382" s="10" t="s">
        <v>2826</v>
      </c>
      <c r="D3382" s="10" t="s">
        <v>3332</v>
      </c>
      <c r="E3382" s="10" t="str">
        <f>"644020240516125225183318"</f>
        <v>644020240516125225183318</v>
      </c>
      <c r="F3382" s="9"/>
    </row>
    <row r="3383" s="2" customFormat="1" ht="30" customHeight="1" spans="1:6">
      <c r="A3383" s="9">
        <v>3380</v>
      </c>
      <c r="B3383" s="10" t="s">
        <v>2825</v>
      </c>
      <c r="C3383" s="10" t="s">
        <v>2826</v>
      </c>
      <c r="D3383" s="10" t="s">
        <v>3333</v>
      </c>
      <c r="E3383" s="10" t="str">
        <f>"644020240514211106180141"</f>
        <v>644020240514211106180141</v>
      </c>
      <c r="F3383" s="9"/>
    </row>
    <row r="3384" s="2" customFormat="1" ht="30" customHeight="1" spans="1:6">
      <c r="A3384" s="9">
        <v>3381</v>
      </c>
      <c r="B3384" s="10" t="s">
        <v>2825</v>
      </c>
      <c r="C3384" s="10" t="s">
        <v>2826</v>
      </c>
      <c r="D3384" s="10" t="s">
        <v>3334</v>
      </c>
      <c r="E3384" s="10" t="str">
        <f>"644020240513162616175919"</f>
        <v>644020240513162616175919</v>
      </c>
      <c r="F3384" s="9"/>
    </row>
    <row r="3385" s="2" customFormat="1" ht="30" customHeight="1" spans="1:6">
      <c r="A3385" s="9">
        <v>3382</v>
      </c>
      <c r="B3385" s="10" t="s">
        <v>2825</v>
      </c>
      <c r="C3385" s="10" t="s">
        <v>2826</v>
      </c>
      <c r="D3385" s="10" t="s">
        <v>3335</v>
      </c>
      <c r="E3385" s="10" t="str">
        <f>"644020240517193357185893"</f>
        <v>644020240517193357185893</v>
      </c>
      <c r="F3385" s="9"/>
    </row>
    <row r="3386" s="2" customFormat="1" ht="30" customHeight="1" spans="1:6">
      <c r="A3386" s="9">
        <v>3383</v>
      </c>
      <c r="B3386" s="10" t="s">
        <v>2825</v>
      </c>
      <c r="C3386" s="10" t="s">
        <v>2826</v>
      </c>
      <c r="D3386" s="10" t="s">
        <v>3336</v>
      </c>
      <c r="E3386" s="10" t="str">
        <f>"644020240517154319185542"</f>
        <v>644020240517154319185542</v>
      </c>
      <c r="F3386" s="9"/>
    </row>
    <row r="3387" s="2" customFormat="1" ht="30" customHeight="1" spans="1:6">
      <c r="A3387" s="9">
        <v>3384</v>
      </c>
      <c r="B3387" s="10" t="s">
        <v>2825</v>
      </c>
      <c r="C3387" s="10" t="s">
        <v>2826</v>
      </c>
      <c r="D3387" s="10" t="s">
        <v>3337</v>
      </c>
      <c r="E3387" s="10" t="str">
        <f>"644020240517143607185373"</f>
        <v>644020240517143607185373</v>
      </c>
      <c r="F3387" s="9"/>
    </row>
    <row r="3388" s="2" customFormat="1" ht="30" customHeight="1" spans="1:6">
      <c r="A3388" s="9">
        <v>3385</v>
      </c>
      <c r="B3388" s="10" t="s">
        <v>2825</v>
      </c>
      <c r="C3388" s="10" t="s">
        <v>2826</v>
      </c>
      <c r="D3388" s="10" t="s">
        <v>3338</v>
      </c>
      <c r="E3388" s="10" t="str">
        <f>"644020240514131436178995"</f>
        <v>644020240514131436178995</v>
      </c>
      <c r="F3388" s="9"/>
    </row>
    <row r="3389" s="2" customFormat="1" ht="30" customHeight="1" spans="1:6">
      <c r="A3389" s="9">
        <v>3386</v>
      </c>
      <c r="B3389" s="10" t="s">
        <v>2825</v>
      </c>
      <c r="C3389" s="10" t="s">
        <v>2826</v>
      </c>
      <c r="D3389" s="10" t="s">
        <v>3339</v>
      </c>
      <c r="E3389" s="10" t="str">
        <f>"644020240517085655184679"</f>
        <v>644020240517085655184679</v>
      </c>
      <c r="F3389" s="9"/>
    </row>
    <row r="3390" s="2" customFormat="1" ht="30" customHeight="1" spans="1:6">
      <c r="A3390" s="9">
        <v>3387</v>
      </c>
      <c r="B3390" s="10" t="s">
        <v>2825</v>
      </c>
      <c r="C3390" s="10" t="s">
        <v>2826</v>
      </c>
      <c r="D3390" s="10" t="s">
        <v>3340</v>
      </c>
      <c r="E3390" s="10" t="str">
        <f>"644020240517195737185928"</f>
        <v>644020240517195737185928</v>
      </c>
      <c r="F3390" s="9"/>
    </row>
    <row r="3391" s="2" customFormat="1" ht="30" customHeight="1" spans="1:6">
      <c r="A3391" s="9">
        <v>3388</v>
      </c>
      <c r="B3391" s="10" t="s">
        <v>2825</v>
      </c>
      <c r="C3391" s="10" t="s">
        <v>2826</v>
      </c>
      <c r="D3391" s="10" t="s">
        <v>3341</v>
      </c>
      <c r="E3391" s="10" t="str">
        <f>"644020240514222154180358"</f>
        <v>644020240514222154180358</v>
      </c>
      <c r="F3391" s="9"/>
    </row>
    <row r="3392" s="2" customFormat="1" ht="30" customHeight="1" spans="1:6">
      <c r="A3392" s="9">
        <v>3389</v>
      </c>
      <c r="B3392" s="10" t="s">
        <v>2825</v>
      </c>
      <c r="C3392" s="10" t="s">
        <v>2826</v>
      </c>
      <c r="D3392" s="10" t="s">
        <v>3342</v>
      </c>
      <c r="E3392" s="10" t="str">
        <f>"644020240513100846173200"</f>
        <v>644020240513100846173200</v>
      </c>
      <c r="F3392" s="9"/>
    </row>
    <row r="3393" s="2" customFormat="1" ht="30" customHeight="1" spans="1:6">
      <c r="A3393" s="9">
        <v>3390</v>
      </c>
      <c r="B3393" s="10" t="s">
        <v>2825</v>
      </c>
      <c r="C3393" s="10" t="s">
        <v>2826</v>
      </c>
      <c r="D3393" s="10" t="s">
        <v>3343</v>
      </c>
      <c r="E3393" s="10" t="str">
        <f>"644020240517215449186039"</f>
        <v>644020240517215449186039</v>
      </c>
      <c r="F3393" s="9"/>
    </row>
    <row r="3394" s="2" customFormat="1" ht="30" customHeight="1" spans="1:6">
      <c r="A3394" s="9">
        <v>3391</v>
      </c>
      <c r="B3394" s="10" t="s">
        <v>2825</v>
      </c>
      <c r="C3394" s="10" t="s">
        <v>2826</v>
      </c>
      <c r="D3394" s="10" t="s">
        <v>3344</v>
      </c>
      <c r="E3394" s="10" t="str">
        <f>"644020240517181606185820"</f>
        <v>644020240517181606185820</v>
      </c>
      <c r="F3394" s="9"/>
    </row>
    <row r="3395" s="2" customFormat="1" ht="30" customHeight="1" spans="1:6">
      <c r="A3395" s="9">
        <v>3392</v>
      </c>
      <c r="B3395" s="10" t="s">
        <v>2825</v>
      </c>
      <c r="C3395" s="10" t="s">
        <v>2826</v>
      </c>
      <c r="D3395" s="10" t="s">
        <v>3345</v>
      </c>
      <c r="E3395" s="10" t="str">
        <f>"644020240517213015186001"</f>
        <v>644020240517213015186001</v>
      </c>
      <c r="F3395" s="9"/>
    </row>
    <row r="3396" s="2" customFormat="1" ht="30" customHeight="1" spans="1:6">
      <c r="A3396" s="9">
        <v>3393</v>
      </c>
      <c r="B3396" s="10" t="s">
        <v>2825</v>
      </c>
      <c r="C3396" s="10" t="s">
        <v>2826</v>
      </c>
      <c r="D3396" s="10" t="s">
        <v>3346</v>
      </c>
      <c r="E3396" s="10" t="str">
        <f>"644020240517165035185685"</f>
        <v>644020240517165035185685</v>
      </c>
      <c r="F3396" s="9"/>
    </row>
    <row r="3397" s="2" customFormat="1" ht="30" customHeight="1" spans="1:6">
      <c r="A3397" s="9">
        <v>3394</v>
      </c>
      <c r="B3397" s="10" t="s">
        <v>2825</v>
      </c>
      <c r="C3397" s="10" t="s">
        <v>2826</v>
      </c>
      <c r="D3397" s="10" t="s">
        <v>3347</v>
      </c>
      <c r="E3397" s="10" t="str">
        <f>"644020240517183640185843"</f>
        <v>644020240517183640185843</v>
      </c>
      <c r="F3397" s="9"/>
    </row>
    <row r="3398" s="2" customFormat="1" ht="30" customHeight="1" spans="1:6">
      <c r="A3398" s="9">
        <v>3395</v>
      </c>
      <c r="B3398" s="10" t="s">
        <v>2825</v>
      </c>
      <c r="C3398" s="10" t="s">
        <v>2826</v>
      </c>
      <c r="D3398" s="10" t="s">
        <v>3348</v>
      </c>
      <c r="E3398" s="10" t="str">
        <f>"644020240517214311186023"</f>
        <v>644020240517214311186023</v>
      </c>
      <c r="F3398" s="9"/>
    </row>
    <row r="3399" s="2" customFormat="1" ht="30" customHeight="1" spans="1:6">
      <c r="A3399" s="9">
        <v>3396</v>
      </c>
      <c r="B3399" s="10" t="s">
        <v>2825</v>
      </c>
      <c r="C3399" s="10" t="s">
        <v>2826</v>
      </c>
      <c r="D3399" s="10" t="s">
        <v>3349</v>
      </c>
      <c r="E3399" s="10" t="str">
        <f>"644020240517113606185035"</f>
        <v>644020240517113606185035</v>
      </c>
      <c r="F3399" s="9"/>
    </row>
    <row r="3400" s="2" customFormat="1" ht="30" customHeight="1" spans="1:6">
      <c r="A3400" s="9">
        <v>3397</v>
      </c>
      <c r="B3400" s="10" t="s">
        <v>2825</v>
      </c>
      <c r="C3400" s="10" t="s">
        <v>2826</v>
      </c>
      <c r="D3400" s="10" t="s">
        <v>3350</v>
      </c>
      <c r="E3400" s="10" t="str">
        <f>"644020240516152724183548"</f>
        <v>644020240516152724183548</v>
      </c>
      <c r="F3400" s="9"/>
    </row>
    <row r="3401" s="2" customFormat="1" ht="30" customHeight="1" spans="1:6">
      <c r="A3401" s="9">
        <v>3398</v>
      </c>
      <c r="B3401" s="10" t="s">
        <v>2825</v>
      </c>
      <c r="C3401" s="10" t="s">
        <v>2826</v>
      </c>
      <c r="D3401" s="10" t="s">
        <v>3351</v>
      </c>
      <c r="E3401" s="10" t="str">
        <f>"644020240513122334174264"</f>
        <v>644020240513122334174264</v>
      </c>
      <c r="F3401" s="9"/>
    </row>
    <row r="3402" s="2" customFormat="1" ht="30" customHeight="1" spans="1:6">
      <c r="A3402" s="9">
        <v>3399</v>
      </c>
      <c r="B3402" s="10" t="s">
        <v>2825</v>
      </c>
      <c r="C3402" s="10" t="s">
        <v>2826</v>
      </c>
      <c r="D3402" s="10" t="s">
        <v>3352</v>
      </c>
      <c r="E3402" s="10" t="str">
        <f>"644020240518065825186326"</f>
        <v>644020240518065825186326</v>
      </c>
      <c r="F3402" s="9"/>
    </row>
    <row r="3403" s="2" customFormat="1" ht="30" customHeight="1" spans="1:6">
      <c r="A3403" s="9">
        <v>3400</v>
      </c>
      <c r="B3403" s="10" t="s">
        <v>2825</v>
      </c>
      <c r="C3403" s="10" t="s">
        <v>2826</v>
      </c>
      <c r="D3403" s="10" t="s">
        <v>3353</v>
      </c>
      <c r="E3403" s="10" t="str">
        <f>"644020240517114731185056"</f>
        <v>644020240517114731185056</v>
      </c>
      <c r="F3403" s="9"/>
    </row>
    <row r="3404" s="2" customFormat="1" ht="30" customHeight="1" spans="1:6">
      <c r="A3404" s="9">
        <v>3401</v>
      </c>
      <c r="B3404" s="10" t="s">
        <v>2825</v>
      </c>
      <c r="C3404" s="10" t="s">
        <v>2826</v>
      </c>
      <c r="D3404" s="10" t="s">
        <v>3354</v>
      </c>
      <c r="E3404" s="10" t="str">
        <f>"644020240515161113181812"</f>
        <v>644020240515161113181812</v>
      </c>
      <c r="F3404" s="9"/>
    </row>
    <row r="3405" s="2" customFormat="1" ht="30" customHeight="1" spans="1:6">
      <c r="A3405" s="9">
        <v>3402</v>
      </c>
      <c r="B3405" s="10" t="s">
        <v>2825</v>
      </c>
      <c r="C3405" s="10" t="s">
        <v>2826</v>
      </c>
      <c r="D3405" s="10" t="s">
        <v>3355</v>
      </c>
      <c r="E3405" s="10" t="str">
        <f>"644020240515143123181566"</f>
        <v>644020240515143123181566</v>
      </c>
      <c r="F3405" s="9"/>
    </row>
    <row r="3406" s="2" customFormat="1" ht="30" customHeight="1" spans="1:6">
      <c r="A3406" s="9">
        <v>3403</v>
      </c>
      <c r="B3406" s="10" t="s">
        <v>2825</v>
      </c>
      <c r="C3406" s="10" t="s">
        <v>2826</v>
      </c>
      <c r="D3406" s="10" t="s">
        <v>3356</v>
      </c>
      <c r="E3406" s="10" t="str">
        <f>"644020240512172154170184"</f>
        <v>644020240512172154170184</v>
      </c>
      <c r="F3406" s="9"/>
    </row>
    <row r="3407" s="2" customFormat="1" ht="30" customHeight="1" spans="1:6">
      <c r="A3407" s="9">
        <v>3404</v>
      </c>
      <c r="B3407" s="10" t="s">
        <v>2825</v>
      </c>
      <c r="C3407" s="10" t="s">
        <v>2826</v>
      </c>
      <c r="D3407" s="10" t="s">
        <v>3357</v>
      </c>
      <c r="E3407" s="10" t="str">
        <f>"644020240518050354186305"</f>
        <v>644020240518050354186305</v>
      </c>
      <c r="F3407" s="9"/>
    </row>
    <row r="3408" s="2" customFormat="1" ht="30" customHeight="1" spans="1:6">
      <c r="A3408" s="9">
        <v>3405</v>
      </c>
      <c r="B3408" s="10" t="s">
        <v>2825</v>
      </c>
      <c r="C3408" s="10" t="s">
        <v>2826</v>
      </c>
      <c r="D3408" s="10" t="s">
        <v>3358</v>
      </c>
      <c r="E3408" s="10" t="str">
        <f>"644020240517235410186144"</f>
        <v>644020240517235410186144</v>
      </c>
      <c r="F3408" s="9"/>
    </row>
    <row r="3409" s="2" customFormat="1" ht="30" customHeight="1" spans="1:6">
      <c r="A3409" s="9">
        <v>3406</v>
      </c>
      <c r="B3409" s="10" t="s">
        <v>2825</v>
      </c>
      <c r="C3409" s="10" t="s">
        <v>2826</v>
      </c>
      <c r="D3409" s="10" t="s">
        <v>3359</v>
      </c>
      <c r="E3409" s="10" t="str">
        <f>"644020240518092039186481"</f>
        <v>644020240518092039186481</v>
      </c>
      <c r="F3409" s="9"/>
    </row>
    <row r="3410" s="2" customFormat="1" ht="30" customHeight="1" spans="1:6">
      <c r="A3410" s="9">
        <v>3407</v>
      </c>
      <c r="B3410" s="10" t="s">
        <v>2825</v>
      </c>
      <c r="C3410" s="10" t="s">
        <v>2826</v>
      </c>
      <c r="D3410" s="10" t="s">
        <v>3360</v>
      </c>
      <c r="E3410" s="10" t="str">
        <f>"644020240518092851186501"</f>
        <v>644020240518092851186501</v>
      </c>
      <c r="F3410" s="9"/>
    </row>
    <row r="3411" s="2" customFormat="1" ht="30" customHeight="1" spans="1:6">
      <c r="A3411" s="9">
        <v>3408</v>
      </c>
      <c r="B3411" s="10" t="s">
        <v>2825</v>
      </c>
      <c r="C3411" s="10" t="s">
        <v>2826</v>
      </c>
      <c r="D3411" s="10" t="s">
        <v>3361</v>
      </c>
      <c r="E3411" s="10" t="str">
        <f>"644020240518034158186296"</f>
        <v>644020240518034158186296</v>
      </c>
      <c r="F3411" s="9"/>
    </row>
    <row r="3412" s="2" customFormat="1" ht="30" customHeight="1" spans="1:6">
      <c r="A3412" s="9">
        <v>3409</v>
      </c>
      <c r="B3412" s="10" t="s">
        <v>2825</v>
      </c>
      <c r="C3412" s="10" t="s">
        <v>2826</v>
      </c>
      <c r="D3412" s="10" t="s">
        <v>3362</v>
      </c>
      <c r="E3412" s="10" t="str">
        <f>"644020240518095254186560"</f>
        <v>644020240518095254186560</v>
      </c>
      <c r="F3412" s="9"/>
    </row>
    <row r="3413" s="2" customFormat="1" ht="30" customHeight="1" spans="1:6">
      <c r="A3413" s="9">
        <v>3410</v>
      </c>
      <c r="B3413" s="10" t="s">
        <v>2825</v>
      </c>
      <c r="C3413" s="10" t="s">
        <v>2826</v>
      </c>
      <c r="D3413" s="10" t="s">
        <v>3363</v>
      </c>
      <c r="E3413" s="10" t="str">
        <f>"644020240516231747184387"</f>
        <v>644020240516231747184387</v>
      </c>
      <c r="F3413" s="9"/>
    </row>
    <row r="3414" s="2" customFormat="1" ht="30" customHeight="1" spans="1:6">
      <c r="A3414" s="9">
        <v>3411</v>
      </c>
      <c r="B3414" s="10" t="s">
        <v>2825</v>
      </c>
      <c r="C3414" s="10" t="s">
        <v>2826</v>
      </c>
      <c r="D3414" s="10" t="s">
        <v>3364</v>
      </c>
      <c r="E3414" s="10" t="str">
        <f>"644020240517131112185229"</f>
        <v>644020240517131112185229</v>
      </c>
      <c r="F3414" s="9"/>
    </row>
    <row r="3415" s="2" customFormat="1" ht="30" customHeight="1" spans="1:6">
      <c r="A3415" s="9">
        <v>3412</v>
      </c>
      <c r="B3415" s="10" t="s">
        <v>2825</v>
      </c>
      <c r="C3415" s="10" t="s">
        <v>2826</v>
      </c>
      <c r="D3415" s="10" t="s">
        <v>3365</v>
      </c>
      <c r="E3415" s="10" t="str">
        <f>"644020240518095108186555"</f>
        <v>644020240518095108186555</v>
      </c>
      <c r="F3415" s="9"/>
    </row>
    <row r="3416" s="2" customFormat="1" ht="30" customHeight="1" spans="1:6">
      <c r="A3416" s="9">
        <v>3413</v>
      </c>
      <c r="B3416" s="10" t="s">
        <v>2825</v>
      </c>
      <c r="C3416" s="10" t="s">
        <v>2826</v>
      </c>
      <c r="D3416" s="10" t="s">
        <v>3366</v>
      </c>
      <c r="E3416" s="10" t="str">
        <f>"644020240518095442186561"</f>
        <v>644020240518095442186561</v>
      </c>
      <c r="F3416" s="9"/>
    </row>
    <row r="3417" s="2" customFormat="1" ht="30" customHeight="1" spans="1:6">
      <c r="A3417" s="9">
        <v>3414</v>
      </c>
      <c r="B3417" s="10" t="s">
        <v>2825</v>
      </c>
      <c r="C3417" s="10" t="s">
        <v>2826</v>
      </c>
      <c r="D3417" s="10" t="s">
        <v>3367</v>
      </c>
      <c r="E3417" s="10" t="str">
        <f>"644020240518100059186573"</f>
        <v>644020240518100059186573</v>
      </c>
      <c r="F3417" s="9"/>
    </row>
    <row r="3418" s="2" customFormat="1" ht="30" customHeight="1" spans="1:6">
      <c r="A3418" s="9">
        <v>3415</v>
      </c>
      <c r="B3418" s="10" t="s">
        <v>2825</v>
      </c>
      <c r="C3418" s="10" t="s">
        <v>2826</v>
      </c>
      <c r="D3418" s="10" t="s">
        <v>3368</v>
      </c>
      <c r="E3418" s="10" t="str">
        <f>"644020240517212612185984"</f>
        <v>644020240517212612185984</v>
      </c>
      <c r="F3418" s="9"/>
    </row>
    <row r="3419" s="2" customFormat="1" ht="30" customHeight="1" spans="1:6">
      <c r="A3419" s="9">
        <v>3416</v>
      </c>
      <c r="B3419" s="10" t="s">
        <v>2825</v>
      </c>
      <c r="C3419" s="10" t="s">
        <v>2826</v>
      </c>
      <c r="D3419" s="10" t="s">
        <v>3369</v>
      </c>
      <c r="E3419" s="10" t="str">
        <f>"644020240518014954186261"</f>
        <v>644020240518014954186261</v>
      </c>
      <c r="F3419" s="9"/>
    </row>
    <row r="3420" s="2" customFormat="1" ht="30" customHeight="1" spans="1:6">
      <c r="A3420" s="9">
        <v>3417</v>
      </c>
      <c r="B3420" s="10" t="s">
        <v>2825</v>
      </c>
      <c r="C3420" s="10" t="s">
        <v>2826</v>
      </c>
      <c r="D3420" s="10" t="s">
        <v>3370</v>
      </c>
      <c r="E3420" s="10" t="str">
        <f>"644020240518102315186631"</f>
        <v>644020240518102315186631</v>
      </c>
      <c r="F3420" s="9"/>
    </row>
    <row r="3421" s="2" customFormat="1" ht="30" customHeight="1" spans="1:6">
      <c r="A3421" s="9">
        <v>3418</v>
      </c>
      <c r="B3421" s="10" t="s">
        <v>2825</v>
      </c>
      <c r="C3421" s="10" t="s">
        <v>2826</v>
      </c>
      <c r="D3421" s="10" t="s">
        <v>3371</v>
      </c>
      <c r="E3421" s="10" t="str">
        <f>"644020240518072517186340"</f>
        <v>644020240518072517186340</v>
      </c>
      <c r="F3421" s="9"/>
    </row>
    <row r="3422" s="2" customFormat="1" ht="30" customHeight="1" spans="1:6">
      <c r="A3422" s="9">
        <v>3419</v>
      </c>
      <c r="B3422" s="10" t="s">
        <v>2825</v>
      </c>
      <c r="C3422" s="10" t="s">
        <v>2826</v>
      </c>
      <c r="D3422" s="10" t="s">
        <v>3372</v>
      </c>
      <c r="E3422" s="10" t="str">
        <f>"644020240516193347184022"</f>
        <v>644020240516193347184022</v>
      </c>
      <c r="F3422" s="9"/>
    </row>
    <row r="3423" s="2" customFormat="1" ht="30" customHeight="1" spans="1:6">
      <c r="A3423" s="9">
        <v>3420</v>
      </c>
      <c r="B3423" s="10" t="s">
        <v>2825</v>
      </c>
      <c r="C3423" s="10" t="s">
        <v>2826</v>
      </c>
      <c r="D3423" s="10" t="s">
        <v>3373</v>
      </c>
      <c r="E3423" s="10" t="str">
        <f>"644020240518094151186527"</f>
        <v>644020240518094151186527</v>
      </c>
      <c r="F3423" s="9"/>
    </row>
    <row r="3424" s="2" customFormat="1" ht="30" customHeight="1" spans="1:6">
      <c r="A3424" s="9">
        <v>3421</v>
      </c>
      <c r="B3424" s="10" t="s">
        <v>2825</v>
      </c>
      <c r="C3424" s="10" t="s">
        <v>2826</v>
      </c>
      <c r="D3424" s="10" t="s">
        <v>3374</v>
      </c>
      <c r="E3424" s="10" t="str">
        <f>"644020240518103130186648"</f>
        <v>644020240518103130186648</v>
      </c>
      <c r="F3424" s="9"/>
    </row>
    <row r="3425" s="2" customFormat="1" ht="30" customHeight="1" spans="1:6">
      <c r="A3425" s="9">
        <v>3422</v>
      </c>
      <c r="B3425" s="10" t="s">
        <v>2825</v>
      </c>
      <c r="C3425" s="10" t="s">
        <v>2826</v>
      </c>
      <c r="D3425" s="10" t="s">
        <v>3375</v>
      </c>
      <c r="E3425" s="10" t="str">
        <f>"644020240517172657185739"</f>
        <v>644020240517172657185739</v>
      </c>
      <c r="F3425" s="9"/>
    </row>
    <row r="3426" s="2" customFormat="1" ht="30" customHeight="1" spans="1:6">
      <c r="A3426" s="9">
        <v>3423</v>
      </c>
      <c r="B3426" s="10" t="s">
        <v>2825</v>
      </c>
      <c r="C3426" s="10" t="s">
        <v>2826</v>
      </c>
      <c r="D3426" s="10" t="s">
        <v>3376</v>
      </c>
      <c r="E3426" s="10" t="str">
        <f>"644020240518115010186798"</f>
        <v>644020240518115010186798</v>
      </c>
      <c r="F3426" s="9"/>
    </row>
    <row r="3427" s="2" customFormat="1" ht="30" customHeight="1" spans="1:6">
      <c r="A3427" s="9">
        <v>3424</v>
      </c>
      <c r="B3427" s="10" t="s">
        <v>3377</v>
      </c>
      <c r="C3427" s="10" t="s">
        <v>3378</v>
      </c>
      <c r="D3427" s="10" t="s">
        <v>3379</v>
      </c>
      <c r="E3427" s="10" t="str">
        <f>"644020240512090532168113"</f>
        <v>644020240512090532168113</v>
      </c>
      <c r="F3427" s="9"/>
    </row>
    <row r="3428" s="2" customFormat="1" ht="30" customHeight="1" spans="1:6">
      <c r="A3428" s="9">
        <v>3425</v>
      </c>
      <c r="B3428" s="10" t="s">
        <v>3377</v>
      </c>
      <c r="C3428" s="10" t="s">
        <v>3378</v>
      </c>
      <c r="D3428" s="10" t="s">
        <v>3380</v>
      </c>
      <c r="E3428" s="10" t="str">
        <f>"644020240512091407168170"</f>
        <v>644020240512091407168170</v>
      </c>
      <c r="F3428" s="9"/>
    </row>
    <row r="3429" s="2" customFormat="1" ht="30" customHeight="1" spans="1:6">
      <c r="A3429" s="9">
        <v>3426</v>
      </c>
      <c r="B3429" s="10" t="s">
        <v>3377</v>
      </c>
      <c r="C3429" s="10" t="s">
        <v>3378</v>
      </c>
      <c r="D3429" s="10" t="s">
        <v>3381</v>
      </c>
      <c r="E3429" s="10" t="str">
        <f>"644020240512090553168115"</f>
        <v>644020240512090553168115</v>
      </c>
      <c r="F3429" s="9"/>
    </row>
    <row r="3430" s="2" customFormat="1" ht="30" customHeight="1" spans="1:6">
      <c r="A3430" s="9">
        <v>3427</v>
      </c>
      <c r="B3430" s="10" t="s">
        <v>3377</v>
      </c>
      <c r="C3430" s="10" t="s">
        <v>3378</v>
      </c>
      <c r="D3430" s="10" t="s">
        <v>3382</v>
      </c>
      <c r="E3430" s="10" t="str">
        <f>"644020240512094244168293"</f>
        <v>644020240512094244168293</v>
      </c>
      <c r="F3430" s="9"/>
    </row>
    <row r="3431" s="2" customFormat="1" ht="30" customHeight="1" spans="1:6">
      <c r="A3431" s="9">
        <v>3428</v>
      </c>
      <c r="B3431" s="10" t="s">
        <v>3377</v>
      </c>
      <c r="C3431" s="10" t="s">
        <v>3378</v>
      </c>
      <c r="D3431" s="10" t="s">
        <v>3383</v>
      </c>
      <c r="E3431" s="10" t="str">
        <f>"644020240512102915168559"</f>
        <v>644020240512102915168559</v>
      </c>
      <c r="F3431" s="9"/>
    </row>
    <row r="3432" s="2" customFormat="1" ht="30" customHeight="1" spans="1:6">
      <c r="A3432" s="9">
        <v>3429</v>
      </c>
      <c r="B3432" s="10" t="s">
        <v>3377</v>
      </c>
      <c r="C3432" s="10" t="s">
        <v>3378</v>
      </c>
      <c r="D3432" s="10" t="s">
        <v>3384</v>
      </c>
      <c r="E3432" s="10" t="str">
        <f>"644020240512091708168184"</f>
        <v>644020240512091708168184</v>
      </c>
      <c r="F3432" s="9"/>
    </row>
    <row r="3433" s="2" customFormat="1" ht="30" customHeight="1" spans="1:6">
      <c r="A3433" s="9">
        <v>3430</v>
      </c>
      <c r="B3433" s="10" t="s">
        <v>3377</v>
      </c>
      <c r="C3433" s="10" t="s">
        <v>3378</v>
      </c>
      <c r="D3433" s="10" t="s">
        <v>3385</v>
      </c>
      <c r="E3433" s="10" t="str">
        <f>"644020240512110934168770"</f>
        <v>644020240512110934168770</v>
      </c>
      <c r="F3433" s="9"/>
    </row>
    <row r="3434" s="2" customFormat="1" ht="30" customHeight="1" spans="1:6">
      <c r="A3434" s="9">
        <v>3431</v>
      </c>
      <c r="B3434" s="10" t="s">
        <v>3377</v>
      </c>
      <c r="C3434" s="10" t="s">
        <v>3378</v>
      </c>
      <c r="D3434" s="10" t="s">
        <v>3386</v>
      </c>
      <c r="E3434" s="10" t="str">
        <f>"644020240512113439168909"</f>
        <v>644020240512113439168909</v>
      </c>
      <c r="F3434" s="9"/>
    </row>
    <row r="3435" s="2" customFormat="1" ht="30" customHeight="1" spans="1:6">
      <c r="A3435" s="9">
        <v>3432</v>
      </c>
      <c r="B3435" s="10" t="s">
        <v>3377</v>
      </c>
      <c r="C3435" s="10" t="s">
        <v>3378</v>
      </c>
      <c r="D3435" s="10" t="s">
        <v>3387</v>
      </c>
      <c r="E3435" s="10" t="str">
        <f>"644020240512110655168756"</f>
        <v>644020240512110655168756</v>
      </c>
      <c r="F3435" s="9"/>
    </row>
    <row r="3436" s="2" customFormat="1" ht="30" customHeight="1" spans="1:6">
      <c r="A3436" s="9">
        <v>3433</v>
      </c>
      <c r="B3436" s="10" t="s">
        <v>3377</v>
      </c>
      <c r="C3436" s="10" t="s">
        <v>3378</v>
      </c>
      <c r="D3436" s="10" t="s">
        <v>3388</v>
      </c>
      <c r="E3436" s="10" t="str">
        <f>"644020240512105923168716"</f>
        <v>644020240512105923168716</v>
      </c>
      <c r="F3436" s="9"/>
    </row>
    <row r="3437" s="2" customFormat="1" ht="30" customHeight="1" spans="1:6">
      <c r="A3437" s="9">
        <v>3434</v>
      </c>
      <c r="B3437" s="10" t="s">
        <v>3377</v>
      </c>
      <c r="C3437" s="10" t="s">
        <v>3378</v>
      </c>
      <c r="D3437" s="10" t="s">
        <v>3389</v>
      </c>
      <c r="E3437" s="10" t="str">
        <f>"644020240512120105169011"</f>
        <v>644020240512120105169011</v>
      </c>
      <c r="F3437" s="9"/>
    </row>
    <row r="3438" s="2" customFormat="1" ht="30" customHeight="1" spans="1:6">
      <c r="A3438" s="9">
        <v>3435</v>
      </c>
      <c r="B3438" s="10" t="s">
        <v>3377</v>
      </c>
      <c r="C3438" s="10" t="s">
        <v>3378</v>
      </c>
      <c r="D3438" s="10" t="s">
        <v>3390</v>
      </c>
      <c r="E3438" s="10" t="str">
        <f>"644020240512113823168928"</f>
        <v>644020240512113823168928</v>
      </c>
      <c r="F3438" s="9"/>
    </row>
    <row r="3439" s="2" customFormat="1" ht="30" customHeight="1" spans="1:6">
      <c r="A3439" s="9">
        <v>3436</v>
      </c>
      <c r="B3439" s="10" t="s">
        <v>3377</v>
      </c>
      <c r="C3439" s="10" t="s">
        <v>3378</v>
      </c>
      <c r="D3439" s="10" t="s">
        <v>3391</v>
      </c>
      <c r="E3439" s="10" t="str">
        <f>"644020240512095304168340"</f>
        <v>644020240512095304168340</v>
      </c>
      <c r="F3439" s="9"/>
    </row>
    <row r="3440" s="2" customFormat="1" ht="30" customHeight="1" spans="1:6">
      <c r="A3440" s="9">
        <v>3437</v>
      </c>
      <c r="B3440" s="10" t="s">
        <v>3377</v>
      </c>
      <c r="C3440" s="10" t="s">
        <v>3378</v>
      </c>
      <c r="D3440" s="10" t="s">
        <v>3392</v>
      </c>
      <c r="E3440" s="10" t="str">
        <f>"644020240512105654168706"</f>
        <v>644020240512105654168706</v>
      </c>
      <c r="F3440" s="9"/>
    </row>
    <row r="3441" s="2" customFormat="1" ht="30" customHeight="1" spans="1:6">
      <c r="A3441" s="9">
        <v>3438</v>
      </c>
      <c r="B3441" s="10" t="s">
        <v>3377</v>
      </c>
      <c r="C3441" s="10" t="s">
        <v>3378</v>
      </c>
      <c r="D3441" s="10" t="s">
        <v>3393</v>
      </c>
      <c r="E3441" s="10" t="str">
        <f>"644020240512103924168618"</f>
        <v>644020240512103924168618</v>
      </c>
      <c r="F3441" s="9"/>
    </row>
    <row r="3442" s="2" customFormat="1" ht="30" customHeight="1" spans="1:6">
      <c r="A3442" s="9">
        <v>3439</v>
      </c>
      <c r="B3442" s="10" t="s">
        <v>3377</v>
      </c>
      <c r="C3442" s="10" t="s">
        <v>3378</v>
      </c>
      <c r="D3442" s="10" t="s">
        <v>3394</v>
      </c>
      <c r="E3442" s="10" t="str">
        <f>"644020240512114427168953"</f>
        <v>644020240512114427168953</v>
      </c>
      <c r="F3442" s="9"/>
    </row>
    <row r="3443" s="2" customFormat="1" ht="30" customHeight="1" spans="1:6">
      <c r="A3443" s="9">
        <v>3440</v>
      </c>
      <c r="B3443" s="10" t="s">
        <v>3377</v>
      </c>
      <c r="C3443" s="10" t="s">
        <v>3378</v>
      </c>
      <c r="D3443" s="10" t="s">
        <v>2103</v>
      </c>
      <c r="E3443" s="10" t="str">
        <f>"644020240512123202169127"</f>
        <v>644020240512123202169127</v>
      </c>
      <c r="F3443" s="9"/>
    </row>
    <row r="3444" s="2" customFormat="1" ht="30" customHeight="1" spans="1:6">
      <c r="A3444" s="9">
        <v>3441</v>
      </c>
      <c r="B3444" s="10" t="s">
        <v>3377</v>
      </c>
      <c r="C3444" s="10" t="s">
        <v>3378</v>
      </c>
      <c r="D3444" s="10" t="s">
        <v>3395</v>
      </c>
      <c r="E3444" s="10" t="str">
        <f>"644020240512122327169097"</f>
        <v>644020240512122327169097</v>
      </c>
      <c r="F3444" s="9"/>
    </row>
    <row r="3445" s="2" customFormat="1" ht="30" customHeight="1" spans="1:6">
      <c r="A3445" s="9">
        <v>3442</v>
      </c>
      <c r="B3445" s="10" t="s">
        <v>3377</v>
      </c>
      <c r="C3445" s="10" t="s">
        <v>3378</v>
      </c>
      <c r="D3445" s="10" t="s">
        <v>3396</v>
      </c>
      <c r="E3445" s="10" t="str">
        <f>"644020240512131852169315"</f>
        <v>644020240512131852169315</v>
      </c>
      <c r="F3445" s="9"/>
    </row>
    <row r="3446" s="2" customFormat="1" ht="30" customHeight="1" spans="1:6">
      <c r="A3446" s="9">
        <v>3443</v>
      </c>
      <c r="B3446" s="10" t="s">
        <v>3377</v>
      </c>
      <c r="C3446" s="10" t="s">
        <v>3378</v>
      </c>
      <c r="D3446" s="10" t="s">
        <v>3397</v>
      </c>
      <c r="E3446" s="10" t="str">
        <f>"644020240512130258169246"</f>
        <v>644020240512130258169246</v>
      </c>
      <c r="F3446" s="9"/>
    </row>
    <row r="3447" s="2" customFormat="1" ht="30" customHeight="1" spans="1:6">
      <c r="A3447" s="9">
        <v>3444</v>
      </c>
      <c r="B3447" s="10" t="s">
        <v>3377</v>
      </c>
      <c r="C3447" s="10" t="s">
        <v>3378</v>
      </c>
      <c r="D3447" s="10" t="s">
        <v>3398</v>
      </c>
      <c r="E3447" s="10" t="str">
        <f>"644020240512123051169122"</f>
        <v>644020240512123051169122</v>
      </c>
      <c r="F3447" s="9"/>
    </row>
    <row r="3448" s="2" customFormat="1" ht="30" customHeight="1" spans="1:6">
      <c r="A3448" s="9">
        <v>3445</v>
      </c>
      <c r="B3448" s="10" t="s">
        <v>3377</v>
      </c>
      <c r="C3448" s="10" t="s">
        <v>3378</v>
      </c>
      <c r="D3448" s="10" t="s">
        <v>3399</v>
      </c>
      <c r="E3448" s="10" t="str">
        <f>"644020240512122538169102"</f>
        <v>644020240512122538169102</v>
      </c>
      <c r="F3448" s="9"/>
    </row>
    <row r="3449" s="2" customFormat="1" ht="30" customHeight="1" spans="1:6">
      <c r="A3449" s="9">
        <v>3446</v>
      </c>
      <c r="B3449" s="10" t="s">
        <v>3377</v>
      </c>
      <c r="C3449" s="10" t="s">
        <v>3378</v>
      </c>
      <c r="D3449" s="10" t="s">
        <v>3400</v>
      </c>
      <c r="E3449" s="10" t="str">
        <f>"644020240512133337169374"</f>
        <v>644020240512133337169374</v>
      </c>
      <c r="F3449" s="9"/>
    </row>
    <row r="3450" s="2" customFormat="1" ht="30" customHeight="1" spans="1:6">
      <c r="A3450" s="9">
        <v>3447</v>
      </c>
      <c r="B3450" s="10" t="s">
        <v>3377</v>
      </c>
      <c r="C3450" s="10" t="s">
        <v>3378</v>
      </c>
      <c r="D3450" s="10" t="s">
        <v>3401</v>
      </c>
      <c r="E3450" s="10" t="str">
        <f>"644020240512113612168916"</f>
        <v>644020240512113612168916</v>
      </c>
      <c r="F3450" s="9"/>
    </row>
    <row r="3451" s="2" customFormat="1" ht="30" customHeight="1" spans="1:6">
      <c r="A3451" s="9">
        <v>3448</v>
      </c>
      <c r="B3451" s="10" t="s">
        <v>3377</v>
      </c>
      <c r="C3451" s="10" t="s">
        <v>3378</v>
      </c>
      <c r="D3451" s="10" t="s">
        <v>3402</v>
      </c>
      <c r="E3451" s="10" t="str">
        <f>"644020240512133244169368"</f>
        <v>644020240512133244169368</v>
      </c>
      <c r="F3451" s="9"/>
    </row>
    <row r="3452" s="2" customFormat="1" ht="30" customHeight="1" spans="1:6">
      <c r="A3452" s="9">
        <v>3449</v>
      </c>
      <c r="B3452" s="10" t="s">
        <v>3377</v>
      </c>
      <c r="C3452" s="10" t="s">
        <v>3378</v>
      </c>
      <c r="D3452" s="10" t="s">
        <v>2169</v>
      </c>
      <c r="E3452" s="10" t="str">
        <f>"644020240512120008169008"</f>
        <v>644020240512120008169008</v>
      </c>
      <c r="F3452" s="9"/>
    </row>
    <row r="3453" s="2" customFormat="1" ht="30" customHeight="1" spans="1:6">
      <c r="A3453" s="9">
        <v>3450</v>
      </c>
      <c r="B3453" s="10" t="s">
        <v>3377</v>
      </c>
      <c r="C3453" s="10" t="s">
        <v>3378</v>
      </c>
      <c r="D3453" s="10" t="s">
        <v>3403</v>
      </c>
      <c r="E3453" s="10" t="str">
        <f>"644020240512142708169544"</f>
        <v>644020240512142708169544</v>
      </c>
      <c r="F3453" s="9"/>
    </row>
    <row r="3454" s="2" customFormat="1" ht="30" customHeight="1" spans="1:6">
      <c r="A3454" s="9">
        <v>3451</v>
      </c>
      <c r="B3454" s="10" t="s">
        <v>3377</v>
      </c>
      <c r="C3454" s="10" t="s">
        <v>3378</v>
      </c>
      <c r="D3454" s="10" t="s">
        <v>3404</v>
      </c>
      <c r="E3454" s="10" t="str">
        <f>"644020240512142338169534"</f>
        <v>644020240512142338169534</v>
      </c>
      <c r="F3454" s="9"/>
    </row>
    <row r="3455" s="2" customFormat="1" ht="30" customHeight="1" spans="1:6">
      <c r="A3455" s="9">
        <v>3452</v>
      </c>
      <c r="B3455" s="10" t="s">
        <v>3377</v>
      </c>
      <c r="C3455" s="10" t="s">
        <v>3378</v>
      </c>
      <c r="D3455" s="10" t="s">
        <v>3405</v>
      </c>
      <c r="E3455" s="10" t="str">
        <f>"644020240512161848169956"</f>
        <v>644020240512161848169956</v>
      </c>
      <c r="F3455" s="9"/>
    </row>
    <row r="3456" s="2" customFormat="1" ht="30" customHeight="1" spans="1:6">
      <c r="A3456" s="9">
        <v>3453</v>
      </c>
      <c r="B3456" s="10" t="s">
        <v>3377</v>
      </c>
      <c r="C3456" s="10" t="s">
        <v>3378</v>
      </c>
      <c r="D3456" s="10" t="s">
        <v>3406</v>
      </c>
      <c r="E3456" s="10" t="str">
        <f>"644020240512094934168320"</f>
        <v>644020240512094934168320</v>
      </c>
      <c r="F3456" s="9"/>
    </row>
    <row r="3457" s="2" customFormat="1" ht="30" customHeight="1" spans="1:6">
      <c r="A3457" s="9">
        <v>3454</v>
      </c>
      <c r="B3457" s="10" t="s">
        <v>3377</v>
      </c>
      <c r="C3457" s="10" t="s">
        <v>3378</v>
      </c>
      <c r="D3457" s="10" t="s">
        <v>3407</v>
      </c>
      <c r="E3457" s="10" t="str">
        <f>"644020240512103329168583"</f>
        <v>644020240512103329168583</v>
      </c>
      <c r="F3457" s="9"/>
    </row>
    <row r="3458" s="2" customFormat="1" ht="30" customHeight="1" spans="1:6">
      <c r="A3458" s="9">
        <v>3455</v>
      </c>
      <c r="B3458" s="10" t="s">
        <v>3377</v>
      </c>
      <c r="C3458" s="10" t="s">
        <v>3378</v>
      </c>
      <c r="D3458" s="10" t="s">
        <v>3408</v>
      </c>
      <c r="E3458" s="10" t="str">
        <f>"644020240512175228170287"</f>
        <v>644020240512175228170287</v>
      </c>
      <c r="F3458" s="9"/>
    </row>
    <row r="3459" s="2" customFormat="1" ht="30" customHeight="1" spans="1:6">
      <c r="A3459" s="9">
        <v>3456</v>
      </c>
      <c r="B3459" s="10" t="s">
        <v>3377</v>
      </c>
      <c r="C3459" s="10" t="s">
        <v>3378</v>
      </c>
      <c r="D3459" s="10" t="s">
        <v>3409</v>
      </c>
      <c r="E3459" s="10" t="str">
        <f>"644020240512115418168985"</f>
        <v>644020240512115418168985</v>
      </c>
      <c r="F3459" s="9"/>
    </row>
    <row r="3460" s="2" customFormat="1" ht="30" customHeight="1" spans="1:6">
      <c r="A3460" s="9">
        <v>3457</v>
      </c>
      <c r="B3460" s="10" t="s">
        <v>3377</v>
      </c>
      <c r="C3460" s="10" t="s">
        <v>3378</v>
      </c>
      <c r="D3460" s="10" t="s">
        <v>3410</v>
      </c>
      <c r="E3460" s="10" t="str">
        <f>"644020240512180004170310"</f>
        <v>644020240512180004170310</v>
      </c>
      <c r="F3460" s="9"/>
    </row>
    <row r="3461" s="2" customFormat="1" ht="30" customHeight="1" spans="1:6">
      <c r="A3461" s="9">
        <v>3458</v>
      </c>
      <c r="B3461" s="10" t="s">
        <v>3377</v>
      </c>
      <c r="C3461" s="10" t="s">
        <v>3378</v>
      </c>
      <c r="D3461" s="10" t="s">
        <v>3411</v>
      </c>
      <c r="E3461" s="10" t="str">
        <f>"644020240512181337170345"</f>
        <v>644020240512181337170345</v>
      </c>
      <c r="F3461" s="9"/>
    </row>
    <row r="3462" s="2" customFormat="1" ht="30" customHeight="1" spans="1:6">
      <c r="A3462" s="9">
        <v>3459</v>
      </c>
      <c r="B3462" s="10" t="s">
        <v>3377</v>
      </c>
      <c r="C3462" s="10" t="s">
        <v>3378</v>
      </c>
      <c r="D3462" s="10" t="s">
        <v>3412</v>
      </c>
      <c r="E3462" s="10" t="str">
        <f>"644020240512093517168267"</f>
        <v>644020240512093517168267</v>
      </c>
      <c r="F3462" s="9"/>
    </row>
    <row r="3463" s="2" customFormat="1" ht="30" customHeight="1" spans="1:6">
      <c r="A3463" s="9">
        <v>3460</v>
      </c>
      <c r="B3463" s="10" t="s">
        <v>3377</v>
      </c>
      <c r="C3463" s="10" t="s">
        <v>3378</v>
      </c>
      <c r="D3463" s="10" t="s">
        <v>3413</v>
      </c>
      <c r="E3463" s="10" t="str">
        <f>"644020240512150236169657"</f>
        <v>644020240512150236169657</v>
      </c>
      <c r="F3463" s="9"/>
    </row>
    <row r="3464" s="2" customFormat="1" ht="30" customHeight="1" spans="1:6">
      <c r="A3464" s="9">
        <v>3461</v>
      </c>
      <c r="B3464" s="10" t="s">
        <v>3377</v>
      </c>
      <c r="C3464" s="10" t="s">
        <v>3378</v>
      </c>
      <c r="D3464" s="10" t="s">
        <v>3414</v>
      </c>
      <c r="E3464" s="10" t="str">
        <f>"644020240512184235170449"</f>
        <v>644020240512184235170449</v>
      </c>
      <c r="F3464" s="9"/>
    </row>
    <row r="3465" s="2" customFormat="1" ht="30" customHeight="1" spans="1:6">
      <c r="A3465" s="9">
        <v>3462</v>
      </c>
      <c r="B3465" s="10" t="s">
        <v>3377</v>
      </c>
      <c r="C3465" s="10" t="s">
        <v>3378</v>
      </c>
      <c r="D3465" s="10" t="s">
        <v>3415</v>
      </c>
      <c r="E3465" s="10" t="str">
        <f>"644020240512165518170091"</f>
        <v>644020240512165518170091</v>
      </c>
      <c r="F3465" s="9"/>
    </row>
    <row r="3466" s="2" customFormat="1" ht="30" customHeight="1" spans="1:6">
      <c r="A3466" s="9">
        <v>3463</v>
      </c>
      <c r="B3466" s="10" t="s">
        <v>3377</v>
      </c>
      <c r="C3466" s="10" t="s">
        <v>3378</v>
      </c>
      <c r="D3466" s="10" t="s">
        <v>3416</v>
      </c>
      <c r="E3466" s="10" t="str">
        <f>"644020240512174132170252"</f>
        <v>644020240512174132170252</v>
      </c>
      <c r="F3466" s="9"/>
    </row>
    <row r="3467" s="2" customFormat="1" ht="30" customHeight="1" spans="1:6">
      <c r="A3467" s="9">
        <v>3464</v>
      </c>
      <c r="B3467" s="10" t="s">
        <v>3377</v>
      </c>
      <c r="C3467" s="10" t="s">
        <v>3378</v>
      </c>
      <c r="D3467" s="10" t="s">
        <v>3417</v>
      </c>
      <c r="E3467" s="10" t="str">
        <f>"644020240512195416170688"</f>
        <v>644020240512195416170688</v>
      </c>
      <c r="F3467" s="9"/>
    </row>
    <row r="3468" s="2" customFormat="1" ht="30" customHeight="1" spans="1:6">
      <c r="A3468" s="9">
        <v>3465</v>
      </c>
      <c r="B3468" s="10" t="s">
        <v>3377</v>
      </c>
      <c r="C3468" s="10" t="s">
        <v>3378</v>
      </c>
      <c r="D3468" s="10" t="s">
        <v>3418</v>
      </c>
      <c r="E3468" s="10" t="str">
        <f>"644020240512193257170614"</f>
        <v>644020240512193257170614</v>
      </c>
      <c r="F3468" s="9"/>
    </row>
    <row r="3469" s="2" customFormat="1" ht="30" customHeight="1" spans="1:6">
      <c r="A3469" s="9">
        <v>3466</v>
      </c>
      <c r="B3469" s="10" t="s">
        <v>3377</v>
      </c>
      <c r="C3469" s="10" t="s">
        <v>3378</v>
      </c>
      <c r="D3469" s="10" t="s">
        <v>3419</v>
      </c>
      <c r="E3469" s="10" t="str">
        <f>"644020240512200837170741"</f>
        <v>644020240512200837170741</v>
      </c>
      <c r="F3469" s="9"/>
    </row>
    <row r="3470" s="2" customFormat="1" ht="30" customHeight="1" spans="1:6">
      <c r="A3470" s="9">
        <v>3467</v>
      </c>
      <c r="B3470" s="10" t="s">
        <v>3377</v>
      </c>
      <c r="C3470" s="10" t="s">
        <v>3378</v>
      </c>
      <c r="D3470" s="10" t="s">
        <v>3420</v>
      </c>
      <c r="E3470" s="10" t="str">
        <f>"644020240512195223170680"</f>
        <v>644020240512195223170680</v>
      </c>
      <c r="F3470" s="9"/>
    </row>
    <row r="3471" s="2" customFormat="1" ht="30" customHeight="1" spans="1:6">
      <c r="A3471" s="9">
        <v>3468</v>
      </c>
      <c r="B3471" s="10" t="s">
        <v>3377</v>
      </c>
      <c r="C3471" s="10" t="s">
        <v>3378</v>
      </c>
      <c r="D3471" s="10" t="s">
        <v>3421</v>
      </c>
      <c r="E3471" s="10" t="str">
        <f>"644020240512205704170973"</f>
        <v>644020240512205704170973</v>
      </c>
      <c r="F3471" s="9"/>
    </row>
    <row r="3472" s="2" customFormat="1" ht="30" customHeight="1" spans="1:6">
      <c r="A3472" s="9">
        <v>3469</v>
      </c>
      <c r="B3472" s="10" t="s">
        <v>3377</v>
      </c>
      <c r="C3472" s="10" t="s">
        <v>3378</v>
      </c>
      <c r="D3472" s="10" t="s">
        <v>3422</v>
      </c>
      <c r="E3472" s="10" t="str">
        <f>"644020240512213623171180"</f>
        <v>644020240512213623171180</v>
      </c>
      <c r="F3472" s="9"/>
    </row>
    <row r="3473" s="2" customFormat="1" ht="30" customHeight="1" spans="1:6">
      <c r="A3473" s="9">
        <v>3470</v>
      </c>
      <c r="B3473" s="10" t="s">
        <v>3377</v>
      </c>
      <c r="C3473" s="10" t="s">
        <v>3378</v>
      </c>
      <c r="D3473" s="10" t="s">
        <v>3423</v>
      </c>
      <c r="E3473" s="10" t="str">
        <f>"644020240512092652168225"</f>
        <v>644020240512092652168225</v>
      </c>
      <c r="F3473" s="9"/>
    </row>
    <row r="3474" s="2" customFormat="1" ht="30" customHeight="1" spans="1:6">
      <c r="A3474" s="9">
        <v>3471</v>
      </c>
      <c r="B3474" s="10" t="s">
        <v>3377</v>
      </c>
      <c r="C3474" s="10" t="s">
        <v>3378</v>
      </c>
      <c r="D3474" s="10" t="s">
        <v>3424</v>
      </c>
      <c r="E3474" s="10" t="str">
        <f>"644020240512192030170569"</f>
        <v>644020240512192030170569</v>
      </c>
      <c r="F3474" s="9"/>
    </row>
    <row r="3475" s="2" customFormat="1" ht="30" customHeight="1" spans="1:6">
      <c r="A3475" s="9">
        <v>3472</v>
      </c>
      <c r="B3475" s="10" t="s">
        <v>3377</v>
      </c>
      <c r="C3475" s="10" t="s">
        <v>3378</v>
      </c>
      <c r="D3475" s="10" t="s">
        <v>2690</v>
      </c>
      <c r="E3475" s="10" t="str">
        <f>"644020240513082739172281"</f>
        <v>644020240513082739172281</v>
      </c>
      <c r="F3475" s="9"/>
    </row>
    <row r="3476" s="2" customFormat="1" ht="30" customHeight="1" spans="1:6">
      <c r="A3476" s="9">
        <v>3473</v>
      </c>
      <c r="B3476" s="10" t="s">
        <v>3377</v>
      </c>
      <c r="C3476" s="10" t="s">
        <v>3378</v>
      </c>
      <c r="D3476" s="10" t="s">
        <v>3425</v>
      </c>
      <c r="E3476" s="10" t="str">
        <f>"644020240513083417172318"</f>
        <v>644020240513083417172318</v>
      </c>
      <c r="F3476" s="9"/>
    </row>
    <row r="3477" s="2" customFormat="1" ht="30" customHeight="1" spans="1:6">
      <c r="A3477" s="9">
        <v>3474</v>
      </c>
      <c r="B3477" s="10" t="s">
        <v>3377</v>
      </c>
      <c r="C3477" s="10" t="s">
        <v>3378</v>
      </c>
      <c r="D3477" s="10" t="s">
        <v>3426</v>
      </c>
      <c r="E3477" s="10" t="str">
        <f>"644020240512132012169321"</f>
        <v>644020240512132012169321</v>
      </c>
      <c r="F3477" s="9"/>
    </row>
    <row r="3478" s="2" customFormat="1" ht="30" customHeight="1" spans="1:6">
      <c r="A3478" s="9">
        <v>3475</v>
      </c>
      <c r="B3478" s="10" t="s">
        <v>3377</v>
      </c>
      <c r="C3478" s="10" t="s">
        <v>3378</v>
      </c>
      <c r="D3478" s="10" t="s">
        <v>3427</v>
      </c>
      <c r="E3478" s="10" t="str">
        <f>"644020240513085608172449"</f>
        <v>644020240513085608172449</v>
      </c>
      <c r="F3478" s="9"/>
    </row>
    <row r="3479" s="2" customFormat="1" ht="30" customHeight="1" spans="1:6">
      <c r="A3479" s="9">
        <v>3476</v>
      </c>
      <c r="B3479" s="10" t="s">
        <v>3377</v>
      </c>
      <c r="C3479" s="10" t="s">
        <v>3378</v>
      </c>
      <c r="D3479" s="10" t="s">
        <v>3428</v>
      </c>
      <c r="E3479" s="10" t="str">
        <f>"644020240513092008172708"</f>
        <v>644020240513092008172708</v>
      </c>
      <c r="F3479" s="9"/>
    </row>
    <row r="3480" s="2" customFormat="1" ht="30" customHeight="1" spans="1:6">
      <c r="A3480" s="9">
        <v>3477</v>
      </c>
      <c r="B3480" s="10" t="s">
        <v>3377</v>
      </c>
      <c r="C3480" s="10" t="s">
        <v>3378</v>
      </c>
      <c r="D3480" s="10" t="s">
        <v>3429</v>
      </c>
      <c r="E3480" s="10" t="str">
        <f>"644020240513082336172267"</f>
        <v>644020240513082336172267</v>
      </c>
      <c r="F3480" s="9"/>
    </row>
    <row r="3481" s="2" customFormat="1" ht="30" customHeight="1" spans="1:6">
      <c r="A3481" s="9">
        <v>3478</v>
      </c>
      <c r="B3481" s="10" t="s">
        <v>3377</v>
      </c>
      <c r="C3481" s="10" t="s">
        <v>3378</v>
      </c>
      <c r="D3481" s="10" t="s">
        <v>3430</v>
      </c>
      <c r="E3481" s="10" t="str">
        <f>"644020240513083616172328"</f>
        <v>644020240513083616172328</v>
      </c>
      <c r="F3481" s="9"/>
    </row>
    <row r="3482" s="2" customFormat="1" ht="30" customHeight="1" spans="1:6">
      <c r="A3482" s="9">
        <v>3479</v>
      </c>
      <c r="B3482" s="10" t="s">
        <v>3377</v>
      </c>
      <c r="C3482" s="10" t="s">
        <v>3378</v>
      </c>
      <c r="D3482" s="10" t="s">
        <v>3431</v>
      </c>
      <c r="E3482" s="10" t="str">
        <f>"644020240512174901170272"</f>
        <v>644020240512174901170272</v>
      </c>
      <c r="F3482" s="9"/>
    </row>
    <row r="3483" s="2" customFormat="1" ht="30" customHeight="1" spans="1:6">
      <c r="A3483" s="9">
        <v>3480</v>
      </c>
      <c r="B3483" s="10" t="s">
        <v>3377</v>
      </c>
      <c r="C3483" s="10" t="s">
        <v>3378</v>
      </c>
      <c r="D3483" s="10" t="s">
        <v>3432</v>
      </c>
      <c r="E3483" s="10" t="str">
        <f>"644020240513083454172321"</f>
        <v>644020240513083454172321</v>
      </c>
      <c r="F3483" s="9"/>
    </row>
    <row r="3484" s="2" customFormat="1" ht="30" customHeight="1" spans="1:6">
      <c r="A3484" s="9">
        <v>3481</v>
      </c>
      <c r="B3484" s="10" t="s">
        <v>3377</v>
      </c>
      <c r="C3484" s="10" t="s">
        <v>3378</v>
      </c>
      <c r="D3484" s="10" t="s">
        <v>3433</v>
      </c>
      <c r="E3484" s="10" t="str">
        <f>"644020240513083551172326"</f>
        <v>644020240513083551172326</v>
      </c>
      <c r="F3484" s="9"/>
    </row>
    <row r="3485" s="2" customFormat="1" ht="30" customHeight="1" spans="1:6">
      <c r="A3485" s="9">
        <v>3482</v>
      </c>
      <c r="B3485" s="10" t="s">
        <v>3377</v>
      </c>
      <c r="C3485" s="10" t="s">
        <v>3378</v>
      </c>
      <c r="D3485" s="10" t="s">
        <v>3434</v>
      </c>
      <c r="E3485" s="10" t="str">
        <f>"644020240513090934172588"</f>
        <v>644020240513090934172588</v>
      </c>
      <c r="F3485" s="9"/>
    </row>
    <row r="3486" s="2" customFormat="1" ht="30" customHeight="1" spans="1:6">
      <c r="A3486" s="9">
        <v>3483</v>
      </c>
      <c r="B3486" s="10" t="s">
        <v>3377</v>
      </c>
      <c r="C3486" s="10" t="s">
        <v>3378</v>
      </c>
      <c r="D3486" s="10" t="s">
        <v>3435</v>
      </c>
      <c r="E3486" s="10" t="str">
        <f>"644020240513093941172906"</f>
        <v>644020240513093941172906</v>
      </c>
      <c r="F3486" s="9"/>
    </row>
    <row r="3487" s="2" customFormat="1" ht="30" customHeight="1" spans="1:6">
      <c r="A3487" s="9">
        <v>3484</v>
      </c>
      <c r="B3487" s="10" t="s">
        <v>3377</v>
      </c>
      <c r="C3487" s="10" t="s">
        <v>3378</v>
      </c>
      <c r="D3487" s="10" t="s">
        <v>857</v>
      </c>
      <c r="E3487" s="10" t="str">
        <f>"644020240513091857172689"</f>
        <v>644020240513091857172689</v>
      </c>
      <c r="F3487" s="9"/>
    </row>
    <row r="3488" s="2" customFormat="1" ht="30" customHeight="1" spans="1:6">
      <c r="A3488" s="9">
        <v>3485</v>
      </c>
      <c r="B3488" s="10" t="s">
        <v>3377</v>
      </c>
      <c r="C3488" s="10" t="s">
        <v>3378</v>
      </c>
      <c r="D3488" s="10" t="s">
        <v>3436</v>
      </c>
      <c r="E3488" s="10" t="str">
        <f>"644020240513101746173287"</f>
        <v>644020240513101746173287</v>
      </c>
      <c r="F3488" s="9"/>
    </row>
    <row r="3489" s="2" customFormat="1" ht="30" customHeight="1" spans="1:6">
      <c r="A3489" s="9">
        <v>3486</v>
      </c>
      <c r="B3489" s="10" t="s">
        <v>3377</v>
      </c>
      <c r="C3489" s="10" t="s">
        <v>3378</v>
      </c>
      <c r="D3489" s="10" t="s">
        <v>3437</v>
      </c>
      <c r="E3489" s="10" t="str">
        <f>"644020240513085515172443"</f>
        <v>644020240513085515172443</v>
      </c>
      <c r="F3489" s="9"/>
    </row>
    <row r="3490" s="2" customFormat="1" ht="30" customHeight="1" spans="1:6">
      <c r="A3490" s="9">
        <v>3487</v>
      </c>
      <c r="B3490" s="10" t="s">
        <v>3377</v>
      </c>
      <c r="C3490" s="10" t="s">
        <v>3378</v>
      </c>
      <c r="D3490" s="10" t="s">
        <v>3438</v>
      </c>
      <c r="E3490" s="10" t="str">
        <f>"644020240513091920172696"</f>
        <v>644020240513091920172696</v>
      </c>
      <c r="F3490" s="9"/>
    </row>
    <row r="3491" s="2" customFormat="1" ht="30" customHeight="1" spans="1:6">
      <c r="A3491" s="9">
        <v>3488</v>
      </c>
      <c r="B3491" s="10" t="s">
        <v>3377</v>
      </c>
      <c r="C3491" s="10" t="s">
        <v>3378</v>
      </c>
      <c r="D3491" s="10" t="s">
        <v>3439</v>
      </c>
      <c r="E3491" s="10" t="str">
        <f>"644020240513112329173907"</f>
        <v>644020240513112329173907</v>
      </c>
      <c r="F3491" s="9"/>
    </row>
    <row r="3492" s="2" customFormat="1" ht="30" customHeight="1" spans="1:6">
      <c r="A3492" s="9">
        <v>3489</v>
      </c>
      <c r="B3492" s="10" t="s">
        <v>3377</v>
      </c>
      <c r="C3492" s="10" t="s">
        <v>3378</v>
      </c>
      <c r="D3492" s="10" t="s">
        <v>3440</v>
      </c>
      <c r="E3492" s="10" t="str">
        <f>"644020240513111655173850"</f>
        <v>644020240513111655173850</v>
      </c>
      <c r="F3492" s="9"/>
    </row>
    <row r="3493" s="2" customFormat="1" ht="30" customHeight="1" spans="1:6">
      <c r="A3493" s="9">
        <v>3490</v>
      </c>
      <c r="B3493" s="10" t="s">
        <v>3377</v>
      </c>
      <c r="C3493" s="10" t="s">
        <v>3378</v>
      </c>
      <c r="D3493" s="10" t="s">
        <v>3441</v>
      </c>
      <c r="E3493" s="10" t="str">
        <f>"644020240513110751173758"</f>
        <v>644020240513110751173758</v>
      </c>
      <c r="F3493" s="9"/>
    </row>
    <row r="3494" s="2" customFormat="1" ht="30" customHeight="1" spans="1:6">
      <c r="A3494" s="9">
        <v>3491</v>
      </c>
      <c r="B3494" s="10" t="s">
        <v>3377</v>
      </c>
      <c r="C3494" s="10" t="s">
        <v>3378</v>
      </c>
      <c r="D3494" s="10" t="s">
        <v>3442</v>
      </c>
      <c r="E3494" s="10" t="str">
        <f>"644020240513093732172884"</f>
        <v>644020240513093732172884</v>
      </c>
      <c r="F3494" s="9"/>
    </row>
    <row r="3495" s="2" customFormat="1" ht="30" customHeight="1" spans="1:6">
      <c r="A3495" s="9">
        <v>3492</v>
      </c>
      <c r="B3495" s="10" t="s">
        <v>3377</v>
      </c>
      <c r="C3495" s="10" t="s">
        <v>3378</v>
      </c>
      <c r="D3495" s="10" t="s">
        <v>3443</v>
      </c>
      <c r="E3495" s="10" t="str">
        <f>"644020240513115222174107"</f>
        <v>644020240513115222174107</v>
      </c>
      <c r="F3495" s="9"/>
    </row>
    <row r="3496" s="2" customFormat="1" ht="30" customHeight="1" spans="1:6">
      <c r="A3496" s="9">
        <v>3493</v>
      </c>
      <c r="B3496" s="10" t="s">
        <v>3377</v>
      </c>
      <c r="C3496" s="10" t="s">
        <v>3378</v>
      </c>
      <c r="D3496" s="10" t="s">
        <v>3444</v>
      </c>
      <c r="E3496" s="10" t="str">
        <f>"644020240512234425171875"</f>
        <v>644020240512234425171875</v>
      </c>
      <c r="F3496" s="9"/>
    </row>
    <row r="3497" s="2" customFormat="1" ht="30" customHeight="1" spans="1:6">
      <c r="A3497" s="9">
        <v>3494</v>
      </c>
      <c r="B3497" s="10" t="s">
        <v>3377</v>
      </c>
      <c r="C3497" s="10" t="s">
        <v>3378</v>
      </c>
      <c r="D3497" s="10" t="s">
        <v>3445</v>
      </c>
      <c r="E3497" s="10" t="str">
        <f>"644020240512222547171474"</f>
        <v>644020240512222547171474</v>
      </c>
      <c r="F3497" s="9"/>
    </row>
    <row r="3498" s="2" customFormat="1" ht="30" customHeight="1" spans="1:6">
      <c r="A3498" s="9">
        <v>3495</v>
      </c>
      <c r="B3498" s="10" t="s">
        <v>3377</v>
      </c>
      <c r="C3498" s="10" t="s">
        <v>3378</v>
      </c>
      <c r="D3498" s="10" t="s">
        <v>3446</v>
      </c>
      <c r="E3498" s="10" t="str">
        <f>"644020240513113838174023"</f>
        <v>644020240513113838174023</v>
      </c>
      <c r="F3498" s="9"/>
    </row>
    <row r="3499" s="2" customFormat="1" ht="30" customHeight="1" spans="1:6">
      <c r="A3499" s="9">
        <v>3496</v>
      </c>
      <c r="B3499" s="10" t="s">
        <v>3377</v>
      </c>
      <c r="C3499" s="10" t="s">
        <v>3378</v>
      </c>
      <c r="D3499" s="10" t="s">
        <v>3447</v>
      </c>
      <c r="E3499" s="10" t="str">
        <f>"644020240513123100174303"</f>
        <v>644020240513123100174303</v>
      </c>
      <c r="F3499" s="9"/>
    </row>
    <row r="3500" s="2" customFormat="1" ht="30" customHeight="1" spans="1:6">
      <c r="A3500" s="9">
        <v>3497</v>
      </c>
      <c r="B3500" s="10" t="s">
        <v>3377</v>
      </c>
      <c r="C3500" s="10" t="s">
        <v>3378</v>
      </c>
      <c r="D3500" s="10" t="s">
        <v>3448</v>
      </c>
      <c r="E3500" s="10" t="str">
        <f>"644020240513121324174207"</f>
        <v>644020240513121324174207</v>
      </c>
      <c r="F3500" s="9"/>
    </row>
    <row r="3501" s="2" customFormat="1" ht="30" customHeight="1" spans="1:6">
      <c r="A3501" s="9">
        <v>3498</v>
      </c>
      <c r="B3501" s="10" t="s">
        <v>3377</v>
      </c>
      <c r="C3501" s="10" t="s">
        <v>3378</v>
      </c>
      <c r="D3501" s="10" t="s">
        <v>3449</v>
      </c>
      <c r="E3501" s="10" t="str">
        <f>"644020240512124728169199"</f>
        <v>644020240512124728169199</v>
      </c>
      <c r="F3501" s="9"/>
    </row>
    <row r="3502" s="2" customFormat="1" ht="30" customHeight="1" spans="1:6">
      <c r="A3502" s="9">
        <v>3499</v>
      </c>
      <c r="B3502" s="10" t="s">
        <v>3377</v>
      </c>
      <c r="C3502" s="10" t="s">
        <v>3378</v>
      </c>
      <c r="D3502" s="10" t="s">
        <v>3450</v>
      </c>
      <c r="E3502" s="10" t="str">
        <f>"644020240513124350174385"</f>
        <v>644020240513124350174385</v>
      </c>
      <c r="F3502" s="9"/>
    </row>
    <row r="3503" s="2" customFormat="1" ht="30" customHeight="1" spans="1:6">
      <c r="A3503" s="9">
        <v>3500</v>
      </c>
      <c r="B3503" s="10" t="s">
        <v>3377</v>
      </c>
      <c r="C3503" s="10" t="s">
        <v>3378</v>
      </c>
      <c r="D3503" s="10" t="s">
        <v>3451</v>
      </c>
      <c r="E3503" s="10" t="str">
        <f>"644020240512234625171880"</f>
        <v>644020240512234625171880</v>
      </c>
      <c r="F3503" s="9"/>
    </row>
    <row r="3504" s="2" customFormat="1" ht="30" customHeight="1" spans="1:6">
      <c r="A3504" s="9">
        <v>3501</v>
      </c>
      <c r="B3504" s="10" t="s">
        <v>3377</v>
      </c>
      <c r="C3504" s="10" t="s">
        <v>3378</v>
      </c>
      <c r="D3504" s="10" t="s">
        <v>3452</v>
      </c>
      <c r="E3504" s="10" t="str">
        <f>"644020240513112529173929"</f>
        <v>644020240513112529173929</v>
      </c>
      <c r="F3504" s="9"/>
    </row>
    <row r="3505" s="2" customFormat="1" ht="30" customHeight="1" spans="1:6">
      <c r="A3505" s="9">
        <v>3502</v>
      </c>
      <c r="B3505" s="10" t="s">
        <v>3377</v>
      </c>
      <c r="C3505" s="10" t="s">
        <v>3378</v>
      </c>
      <c r="D3505" s="10" t="s">
        <v>3453</v>
      </c>
      <c r="E3505" s="10" t="str">
        <f>"644020240513104853173588"</f>
        <v>644020240513104853173588</v>
      </c>
      <c r="F3505" s="9"/>
    </row>
    <row r="3506" s="2" customFormat="1" ht="30" customHeight="1" spans="1:6">
      <c r="A3506" s="9">
        <v>3503</v>
      </c>
      <c r="B3506" s="10" t="s">
        <v>3377</v>
      </c>
      <c r="C3506" s="10" t="s">
        <v>3378</v>
      </c>
      <c r="D3506" s="10" t="s">
        <v>3454</v>
      </c>
      <c r="E3506" s="10" t="str">
        <f>"644020240512230528171710"</f>
        <v>644020240512230528171710</v>
      </c>
      <c r="F3506" s="9"/>
    </row>
    <row r="3507" s="2" customFormat="1" ht="30" customHeight="1" spans="1:6">
      <c r="A3507" s="9">
        <v>3504</v>
      </c>
      <c r="B3507" s="10" t="s">
        <v>3377</v>
      </c>
      <c r="C3507" s="10" t="s">
        <v>3378</v>
      </c>
      <c r="D3507" s="10" t="s">
        <v>3455</v>
      </c>
      <c r="E3507" s="10" t="str">
        <f>"644020240513141635174884"</f>
        <v>644020240513141635174884</v>
      </c>
      <c r="F3507" s="9"/>
    </row>
    <row r="3508" s="2" customFormat="1" ht="30" customHeight="1" spans="1:6">
      <c r="A3508" s="9">
        <v>3505</v>
      </c>
      <c r="B3508" s="10" t="s">
        <v>3377</v>
      </c>
      <c r="C3508" s="10" t="s">
        <v>3378</v>
      </c>
      <c r="D3508" s="10" t="s">
        <v>3456</v>
      </c>
      <c r="E3508" s="10" t="str">
        <f>"644020240513132849174650"</f>
        <v>644020240513132849174650</v>
      </c>
      <c r="F3508" s="9"/>
    </row>
    <row r="3509" s="2" customFormat="1" ht="30" customHeight="1" spans="1:6">
      <c r="A3509" s="9">
        <v>3506</v>
      </c>
      <c r="B3509" s="10" t="s">
        <v>3377</v>
      </c>
      <c r="C3509" s="10" t="s">
        <v>3378</v>
      </c>
      <c r="D3509" s="10" t="s">
        <v>2622</v>
      </c>
      <c r="E3509" s="10" t="str">
        <f>"644020240513131900174611"</f>
        <v>644020240513131900174611</v>
      </c>
      <c r="F3509" s="9"/>
    </row>
    <row r="3510" s="2" customFormat="1" ht="30" customHeight="1" spans="1:6">
      <c r="A3510" s="9">
        <v>3507</v>
      </c>
      <c r="B3510" s="10" t="s">
        <v>3377</v>
      </c>
      <c r="C3510" s="10" t="s">
        <v>3378</v>
      </c>
      <c r="D3510" s="10" t="s">
        <v>3457</v>
      </c>
      <c r="E3510" s="10" t="str">
        <f>"644020240513143843175025"</f>
        <v>644020240513143843175025</v>
      </c>
      <c r="F3510" s="9"/>
    </row>
    <row r="3511" s="2" customFormat="1" ht="30" customHeight="1" spans="1:6">
      <c r="A3511" s="9">
        <v>3508</v>
      </c>
      <c r="B3511" s="10" t="s">
        <v>3377</v>
      </c>
      <c r="C3511" s="10" t="s">
        <v>3378</v>
      </c>
      <c r="D3511" s="10" t="s">
        <v>3458</v>
      </c>
      <c r="E3511" s="10" t="str">
        <f>"644020240512173921170244"</f>
        <v>644020240512173921170244</v>
      </c>
      <c r="F3511" s="9"/>
    </row>
    <row r="3512" s="2" customFormat="1" ht="30" customHeight="1" spans="1:6">
      <c r="A3512" s="9">
        <v>3509</v>
      </c>
      <c r="B3512" s="10" t="s">
        <v>3377</v>
      </c>
      <c r="C3512" s="10" t="s">
        <v>3378</v>
      </c>
      <c r="D3512" s="10" t="s">
        <v>3459</v>
      </c>
      <c r="E3512" s="10" t="str">
        <f>"644020240512095553168357"</f>
        <v>644020240512095553168357</v>
      </c>
      <c r="F3512" s="9"/>
    </row>
    <row r="3513" s="2" customFormat="1" ht="30" customHeight="1" spans="1:6">
      <c r="A3513" s="9">
        <v>3510</v>
      </c>
      <c r="B3513" s="10" t="s">
        <v>3377</v>
      </c>
      <c r="C3513" s="10" t="s">
        <v>3378</v>
      </c>
      <c r="D3513" s="10" t="s">
        <v>3460</v>
      </c>
      <c r="E3513" s="10" t="str">
        <f>"644020240513144143175046"</f>
        <v>644020240513144143175046</v>
      </c>
      <c r="F3513" s="9"/>
    </row>
    <row r="3514" s="2" customFormat="1" ht="30" customHeight="1" spans="1:6">
      <c r="A3514" s="9">
        <v>3511</v>
      </c>
      <c r="B3514" s="10" t="s">
        <v>3377</v>
      </c>
      <c r="C3514" s="10" t="s">
        <v>3378</v>
      </c>
      <c r="D3514" s="10" t="s">
        <v>3461</v>
      </c>
      <c r="E3514" s="10" t="str">
        <f>"644020240512141455169499"</f>
        <v>644020240512141455169499</v>
      </c>
      <c r="F3514" s="9"/>
    </row>
    <row r="3515" s="2" customFormat="1" ht="30" customHeight="1" spans="1:6">
      <c r="A3515" s="9">
        <v>3512</v>
      </c>
      <c r="B3515" s="10" t="s">
        <v>3377</v>
      </c>
      <c r="C3515" s="10" t="s">
        <v>3378</v>
      </c>
      <c r="D3515" s="10" t="s">
        <v>1317</v>
      </c>
      <c r="E3515" s="10" t="str">
        <f>"644020240513155133175698"</f>
        <v>644020240513155133175698</v>
      </c>
      <c r="F3515" s="9"/>
    </row>
    <row r="3516" s="2" customFormat="1" ht="30" customHeight="1" spans="1:6">
      <c r="A3516" s="9">
        <v>3513</v>
      </c>
      <c r="B3516" s="10" t="s">
        <v>3377</v>
      </c>
      <c r="C3516" s="10" t="s">
        <v>3378</v>
      </c>
      <c r="D3516" s="10" t="s">
        <v>3462</v>
      </c>
      <c r="E3516" s="10" t="str">
        <f>"644020240513161706175876"</f>
        <v>644020240513161706175876</v>
      </c>
      <c r="F3516" s="9"/>
    </row>
    <row r="3517" s="2" customFormat="1" ht="30" customHeight="1" spans="1:6">
      <c r="A3517" s="9">
        <v>3514</v>
      </c>
      <c r="B3517" s="10" t="s">
        <v>3377</v>
      </c>
      <c r="C3517" s="10" t="s">
        <v>3378</v>
      </c>
      <c r="D3517" s="10" t="s">
        <v>3463</v>
      </c>
      <c r="E3517" s="10" t="str">
        <f>"644020240513102647173379"</f>
        <v>644020240513102647173379</v>
      </c>
      <c r="F3517" s="9"/>
    </row>
    <row r="3518" s="2" customFormat="1" ht="30" customHeight="1" spans="1:6">
      <c r="A3518" s="9">
        <v>3515</v>
      </c>
      <c r="B3518" s="10" t="s">
        <v>3377</v>
      </c>
      <c r="C3518" s="10" t="s">
        <v>3378</v>
      </c>
      <c r="D3518" s="10" t="s">
        <v>3464</v>
      </c>
      <c r="E3518" s="10" t="str">
        <f>"644020240512201603170778"</f>
        <v>644020240512201603170778</v>
      </c>
      <c r="F3518" s="9"/>
    </row>
    <row r="3519" s="2" customFormat="1" ht="30" customHeight="1" spans="1:6">
      <c r="A3519" s="9">
        <v>3516</v>
      </c>
      <c r="B3519" s="10" t="s">
        <v>3377</v>
      </c>
      <c r="C3519" s="10" t="s">
        <v>3378</v>
      </c>
      <c r="D3519" s="10" t="s">
        <v>3465</v>
      </c>
      <c r="E3519" s="10" t="str">
        <f>"644020240513165041176054"</f>
        <v>644020240513165041176054</v>
      </c>
      <c r="F3519" s="9"/>
    </row>
    <row r="3520" s="2" customFormat="1" ht="30" customHeight="1" spans="1:6">
      <c r="A3520" s="9">
        <v>3517</v>
      </c>
      <c r="B3520" s="10" t="s">
        <v>3377</v>
      </c>
      <c r="C3520" s="10" t="s">
        <v>3378</v>
      </c>
      <c r="D3520" s="10" t="s">
        <v>3466</v>
      </c>
      <c r="E3520" s="10" t="str">
        <f>"644020240513160403175805"</f>
        <v>644020240513160403175805</v>
      </c>
      <c r="F3520" s="9"/>
    </row>
    <row r="3521" s="2" customFormat="1" ht="30" customHeight="1" spans="1:6">
      <c r="A3521" s="9">
        <v>3518</v>
      </c>
      <c r="B3521" s="10" t="s">
        <v>3377</v>
      </c>
      <c r="C3521" s="10" t="s">
        <v>3378</v>
      </c>
      <c r="D3521" s="10" t="s">
        <v>3467</v>
      </c>
      <c r="E3521" s="10" t="str">
        <f>"644020240513113835174021"</f>
        <v>644020240513113835174021</v>
      </c>
      <c r="F3521" s="9"/>
    </row>
    <row r="3522" s="2" customFormat="1" ht="30" customHeight="1" spans="1:6">
      <c r="A3522" s="9">
        <v>3519</v>
      </c>
      <c r="B3522" s="10" t="s">
        <v>3377</v>
      </c>
      <c r="C3522" s="10" t="s">
        <v>3378</v>
      </c>
      <c r="D3522" s="10" t="s">
        <v>3468</v>
      </c>
      <c r="E3522" s="10" t="str">
        <f>"644020240512095826168373"</f>
        <v>644020240512095826168373</v>
      </c>
      <c r="F3522" s="9"/>
    </row>
    <row r="3523" s="2" customFormat="1" ht="30" customHeight="1" spans="1:6">
      <c r="A3523" s="9">
        <v>3520</v>
      </c>
      <c r="B3523" s="10" t="s">
        <v>3377</v>
      </c>
      <c r="C3523" s="10" t="s">
        <v>3378</v>
      </c>
      <c r="D3523" s="10" t="s">
        <v>3469</v>
      </c>
      <c r="E3523" s="10" t="str">
        <f>"644020240513155806175761"</f>
        <v>644020240513155806175761</v>
      </c>
      <c r="F3523" s="9"/>
    </row>
    <row r="3524" s="2" customFormat="1" ht="30" customHeight="1" spans="1:6">
      <c r="A3524" s="9">
        <v>3521</v>
      </c>
      <c r="B3524" s="10" t="s">
        <v>3377</v>
      </c>
      <c r="C3524" s="10" t="s">
        <v>3378</v>
      </c>
      <c r="D3524" s="10" t="s">
        <v>3470</v>
      </c>
      <c r="E3524" s="10" t="str">
        <f>"644020240513172918176226"</f>
        <v>644020240513172918176226</v>
      </c>
      <c r="F3524" s="9"/>
    </row>
    <row r="3525" s="2" customFormat="1" ht="30" customHeight="1" spans="1:6">
      <c r="A3525" s="9">
        <v>3522</v>
      </c>
      <c r="B3525" s="10" t="s">
        <v>3377</v>
      </c>
      <c r="C3525" s="10" t="s">
        <v>3378</v>
      </c>
      <c r="D3525" s="10" t="s">
        <v>403</v>
      </c>
      <c r="E3525" s="10" t="str">
        <f>"644020240513160437175809"</f>
        <v>644020240513160437175809</v>
      </c>
      <c r="F3525" s="9"/>
    </row>
    <row r="3526" s="2" customFormat="1" ht="30" customHeight="1" spans="1:6">
      <c r="A3526" s="9">
        <v>3523</v>
      </c>
      <c r="B3526" s="10" t="s">
        <v>3377</v>
      </c>
      <c r="C3526" s="10" t="s">
        <v>3378</v>
      </c>
      <c r="D3526" s="10" t="s">
        <v>3471</v>
      </c>
      <c r="E3526" s="10" t="str">
        <f>"644020240513182922176425"</f>
        <v>644020240513182922176425</v>
      </c>
      <c r="F3526" s="9"/>
    </row>
    <row r="3527" s="2" customFormat="1" ht="30" customHeight="1" spans="1:6">
      <c r="A3527" s="9">
        <v>3524</v>
      </c>
      <c r="B3527" s="10" t="s">
        <v>3377</v>
      </c>
      <c r="C3527" s="10" t="s">
        <v>3378</v>
      </c>
      <c r="D3527" s="10" t="s">
        <v>3472</v>
      </c>
      <c r="E3527" s="10" t="str">
        <f>"644020240513180141176353"</f>
        <v>644020240513180141176353</v>
      </c>
      <c r="F3527" s="9"/>
    </row>
    <row r="3528" s="2" customFormat="1" ht="30" customHeight="1" spans="1:6">
      <c r="A3528" s="9">
        <v>3525</v>
      </c>
      <c r="B3528" s="10" t="s">
        <v>3377</v>
      </c>
      <c r="C3528" s="10" t="s">
        <v>3378</v>
      </c>
      <c r="D3528" s="10" t="s">
        <v>3473</v>
      </c>
      <c r="E3528" s="10" t="str">
        <f>"644020240512160713169906"</f>
        <v>644020240512160713169906</v>
      </c>
      <c r="F3528" s="9"/>
    </row>
    <row r="3529" s="2" customFormat="1" ht="30" customHeight="1" spans="1:6">
      <c r="A3529" s="9">
        <v>3526</v>
      </c>
      <c r="B3529" s="10" t="s">
        <v>3377</v>
      </c>
      <c r="C3529" s="10" t="s">
        <v>3378</v>
      </c>
      <c r="D3529" s="10" t="s">
        <v>3474</v>
      </c>
      <c r="E3529" s="10" t="str">
        <f>"644020240513163925175991"</f>
        <v>644020240513163925175991</v>
      </c>
      <c r="F3529" s="9"/>
    </row>
    <row r="3530" s="2" customFormat="1" ht="30" customHeight="1" spans="1:6">
      <c r="A3530" s="9">
        <v>3527</v>
      </c>
      <c r="B3530" s="10" t="s">
        <v>3377</v>
      </c>
      <c r="C3530" s="10" t="s">
        <v>3378</v>
      </c>
      <c r="D3530" s="10" t="s">
        <v>3475</v>
      </c>
      <c r="E3530" s="10" t="str">
        <f>"644020240512164457170057"</f>
        <v>644020240512164457170057</v>
      </c>
      <c r="F3530" s="9"/>
    </row>
    <row r="3531" s="2" customFormat="1" ht="30" customHeight="1" spans="1:6">
      <c r="A3531" s="9">
        <v>3528</v>
      </c>
      <c r="B3531" s="10" t="s">
        <v>3377</v>
      </c>
      <c r="C3531" s="10" t="s">
        <v>3378</v>
      </c>
      <c r="D3531" s="10" t="s">
        <v>3476</v>
      </c>
      <c r="E3531" s="10" t="str">
        <f>"644020240513160349175802"</f>
        <v>644020240513160349175802</v>
      </c>
      <c r="F3531" s="9"/>
    </row>
    <row r="3532" s="2" customFormat="1" ht="30" customHeight="1" spans="1:6">
      <c r="A3532" s="9">
        <v>3529</v>
      </c>
      <c r="B3532" s="10" t="s">
        <v>3377</v>
      </c>
      <c r="C3532" s="10" t="s">
        <v>3378</v>
      </c>
      <c r="D3532" s="10" t="s">
        <v>3477</v>
      </c>
      <c r="E3532" s="10" t="str">
        <f>"644020240513185932176509"</f>
        <v>644020240513185932176509</v>
      </c>
      <c r="F3532" s="9"/>
    </row>
    <row r="3533" s="2" customFormat="1" ht="30" customHeight="1" spans="1:6">
      <c r="A3533" s="9">
        <v>3530</v>
      </c>
      <c r="B3533" s="10" t="s">
        <v>3377</v>
      </c>
      <c r="C3533" s="10" t="s">
        <v>3378</v>
      </c>
      <c r="D3533" s="10" t="s">
        <v>3478</v>
      </c>
      <c r="E3533" s="10" t="str">
        <f>"644020240513123755174345"</f>
        <v>644020240513123755174345</v>
      </c>
      <c r="F3533" s="9"/>
    </row>
    <row r="3534" s="2" customFormat="1" ht="30" customHeight="1" spans="1:6">
      <c r="A3534" s="9">
        <v>3531</v>
      </c>
      <c r="B3534" s="10" t="s">
        <v>3377</v>
      </c>
      <c r="C3534" s="10" t="s">
        <v>3378</v>
      </c>
      <c r="D3534" s="10" t="s">
        <v>3479</v>
      </c>
      <c r="E3534" s="10" t="str">
        <f>"644020240513193225176625"</f>
        <v>644020240513193225176625</v>
      </c>
      <c r="F3534" s="9"/>
    </row>
    <row r="3535" s="2" customFormat="1" ht="30" customHeight="1" spans="1:6">
      <c r="A3535" s="9">
        <v>3532</v>
      </c>
      <c r="B3535" s="10" t="s">
        <v>3377</v>
      </c>
      <c r="C3535" s="10" t="s">
        <v>3378</v>
      </c>
      <c r="D3535" s="10" t="s">
        <v>3480</v>
      </c>
      <c r="E3535" s="10" t="str">
        <f>"644020240512103154168576"</f>
        <v>644020240512103154168576</v>
      </c>
      <c r="F3535" s="9"/>
    </row>
    <row r="3536" s="2" customFormat="1" ht="30" customHeight="1" spans="1:6">
      <c r="A3536" s="9">
        <v>3533</v>
      </c>
      <c r="B3536" s="10" t="s">
        <v>3377</v>
      </c>
      <c r="C3536" s="10" t="s">
        <v>3378</v>
      </c>
      <c r="D3536" s="10" t="s">
        <v>3481</v>
      </c>
      <c r="E3536" s="10" t="str">
        <f>"644020240513155133175697"</f>
        <v>644020240513155133175697</v>
      </c>
      <c r="F3536" s="9"/>
    </row>
    <row r="3537" s="2" customFormat="1" ht="30" customHeight="1" spans="1:6">
      <c r="A3537" s="9">
        <v>3534</v>
      </c>
      <c r="B3537" s="10" t="s">
        <v>3377</v>
      </c>
      <c r="C3537" s="10" t="s">
        <v>3378</v>
      </c>
      <c r="D3537" s="10" t="s">
        <v>3482</v>
      </c>
      <c r="E3537" s="10" t="str">
        <f>"644020240512132318169335"</f>
        <v>644020240512132318169335</v>
      </c>
      <c r="F3537" s="9"/>
    </row>
    <row r="3538" s="2" customFormat="1" ht="30" customHeight="1" spans="1:6">
      <c r="A3538" s="9">
        <v>3535</v>
      </c>
      <c r="B3538" s="10" t="s">
        <v>3377</v>
      </c>
      <c r="C3538" s="10" t="s">
        <v>3378</v>
      </c>
      <c r="D3538" s="10" t="s">
        <v>3483</v>
      </c>
      <c r="E3538" s="10" t="str">
        <f>"644020240512143338169555"</f>
        <v>644020240512143338169555</v>
      </c>
      <c r="F3538" s="9"/>
    </row>
    <row r="3539" s="2" customFormat="1" ht="30" customHeight="1" spans="1:6">
      <c r="A3539" s="9">
        <v>3536</v>
      </c>
      <c r="B3539" s="10" t="s">
        <v>3377</v>
      </c>
      <c r="C3539" s="10" t="s">
        <v>3378</v>
      </c>
      <c r="D3539" s="10" t="s">
        <v>3484</v>
      </c>
      <c r="E3539" s="10" t="str">
        <f>"644020240513200855176757"</f>
        <v>644020240513200855176757</v>
      </c>
      <c r="F3539" s="9"/>
    </row>
    <row r="3540" s="2" customFormat="1" ht="30" customHeight="1" spans="1:6">
      <c r="A3540" s="9">
        <v>3537</v>
      </c>
      <c r="B3540" s="10" t="s">
        <v>3377</v>
      </c>
      <c r="C3540" s="10" t="s">
        <v>3378</v>
      </c>
      <c r="D3540" s="10" t="s">
        <v>3485</v>
      </c>
      <c r="E3540" s="10" t="str">
        <f>"644020240513130405174541"</f>
        <v>644020240513130405174541</v>
      </c>
      <c r="F3540" s="9"/>
    </row>
    <row r="3541" s="2" customFormat="1" ht="30" customHeight="1" spans="1:6">
      <c r="A3541" s="9">
        <v>3538</v>
      </c>
      <c r="B3541" s="10" t="s">
        <v>3377</v>
      </c>
      <c r="C3541" s="10" t="s">
        <v>3378</v>
      </c>
      <c r="D3541" s="10" t="s">
        <v>3486</v>
      </c>
      <c r="E3541" s="10" t="str">
        <f>"644020240512195636170699"</f>
        <v>644020240512195636170699</v>
      </c>
      <c r="F3541" s="9"/>
    </row>
    <row r="3542" s="2" customFormat="1" ht="30" customHeight="1" spans="1:6">
      <c r="A3542" s="9">
        <v>3539</v>
      </c>
      <c r="B3542" s="10" t="s">
        <v>3377</v>
      </c>
      <c r="C3542" s="10" t="s">
        <v>3378</v>
      </c>
      <c r="D3542" s="10" t="s">
        <v>3487</v>
      </c>
      <c r="E3542" s="10" t="str">
        <f>"644020240513210048176961"</f>
        <v>644020240513210048176961</v>
      </c>
      <c r="F3542" s="9"/>
    </row>
    <row r="3543" s="2" customFormat="1" ht="30" customHeight="1" spans="1:6">
      <c r="A3543" s="9">
        <v>3540</v>
      </c>
      <c r="B3543" s="10" t="s">
        <v>3377</v>
      </c>
      <c r="C3543" s="10" t="s">
        <v>3378</v>
      </c>
      <c r="D3543" s="10" t="s">
        <v>3488</v>
      </c>
      <c r="E3543" s="10" t="str">
        <f>"644020240513185556176497"</f>
        <v>644020240513185556176497</v>
      </c>
      <c r="F3543" s="9"/>
    </row>
    <row r="3544" s="2" customFormat="1" ht="30" customHeight="1" spans="1:6">
      <c r="A3544" s="9">
        <v>3541</v>
      </c>
      <c r="B3544" s="10" t="s">
        <v>3377</v>
      </c>
      <c r="C3544" s="10" t="s">
        <v>3378</v>
      </c>
      <c r="D3544" s="10" t="s">
        <v>3489</v>
      </c>
      <c r="E3544" s="10" t="str">
        <f>"644020240513101745173286"</f>
        <v>644020240513101745173286</v>
      </c>
      <c r="F3544" s="9"/>
    </row>
    <row r="3545" s="2" customFormat="1" ht="30" customHeight="1" spans="1:6">
      <c r="A3545" s="9">
        <v>3542</v>
      </c>
      <c r="B3545" s="10" t="s">
        <v>3377</v>
      </c>
      <c r="C3545" s="10" t="s">
        <v>3378</v>
      </c>
      <c r="D3545" s="10" t="s">
        <v>3490</v>
      </c>
      <c r="E3545" s="10" t="str">
        <f>"644020240513175633176328"</f>
        <v>644020240513175633176328</v>
      </c>
      <c r="F3545" s="9"/>
    </row>
    <row r="3546" s="2" customFormat="1" ht="30" customHeight="1" spans="1:6">
      <c r="A3546" s="9">
        <v>3543</v>
      </c>
      <c r="B3546" s="10" t="s">
        <v>3377</v>
      </c>
      <c r="C3546" s="10" t="s">
        <v>3378</v>
      </c>
      <c r="D3546" s="10" t="s">
        <v>3491</v>
      </c>
      <c r="E3546" s="10" t="str">
        <f>"644020240513111221173807"</f>
        <v>644020240513111221173807</v>
      </c>
      <c r="F3546" s="9"/>
    </row>
    <row r="3547" s="2" customFormat="1" ht="30" customHeight="1" spans="1:6">
      <c r="A3547" s="9">
        <v>3544</v>
      </c>
      <c r="B3547" s="10" t="s">
        <v>3377</v>
      </c>
      <c r="C3547" s="10" t="s">
        <v>3378</v>
      </c>
      <c r="D3547" s="10" t="s">
        <v>3492</v>
      </c>
      <c r="E3547" s="10" t="str">
        <f>"644020240513153222175488"</f>
        <v>644020240513153222175488</v>
      </c>
      <c r="F3547" s="9"/>
    </row>
    <row r="3548" s="2" customFormat="1" ht="30" customHeight="1" spans="1:6">
      <c r="A3548" s="9">
        <v>3545</v>
      </c>
      <c r="B3548" s="10" t="s">
        <v>3377</v>
      </c>
      <c r="C3548" s="10" t="s">
        <v>3378</v>
      </c>
      <c r="D3548" s="10" t="s">
        <v>3493</v>
      </c>
      <c r="E3548" s="10" t="str">
        <f>"644020240513213653177112"</f>
        <v>644020240513213653177112</v>
      </c>
      <c r="F3548" s="9"/>
    </row>
    <row r="3549" s="2" customFormat="1" ht="30" customHeight="1" spans="1:6">
      <c r="A3549" s="9">
        <v>3546</v>
      </c>
      <c r="B3549" s="10" t="s">
        <v>3377</v>
      </c>
      <c r="C3549" s="10" t="s">
        <v>3378</v>
      </c>
      <c r="D3549" s="10" t="s">
        <v>3494</v>
      </c>
      <c r="E3549" s="10" t="str">
        <f>"644020240513220457177247"</f>
        <v>644020240513220457177247</v>
      </c>
      <c r="F3549" s="9"/>
    </row>
    <row r="3550" s="2" customFormat="1" ht="30" customHeight="1" spans="1:6">
      <c r="A3550" s="9">
        <v>3547</v>
      </c>
      <c r="B3550" s="10" t="s">
        <v>3377</v>
      </c>
      <c r="C3550" s="10" t="s">
        <v>3378</v>
      </c>
      <c r="D3550" s="10" t="s">
        <v>3495</v>
      </c>
      <c r="E3550" s="10" t="str">
        <f>"644020240513191530176564"</f>
        <v>644020240513191530176564</v>
      </c>
      <c r="F3550" s="9"/>
    </row>
    <row r="3551" s="2" customFormat="1" ht="30" customHeight="1" spans="1:6">
      <c r="A3551" s="9">
        <v>3548</v>
      </c>
      <c r="B3551" s="10" t="s">
        <v>3377</v>
      </c>
      <c r="C3551" s="10" t="s">
        <v>3378</v>
      </c>
      <c r="D3551" s="10" t="s">
        <v>3496</v>
      </c>
      <c r="E3551" s="10" t="str">
        <f>"644020240513224547177430"</f>
        <v>644020240513224547177430</v>
      </c>
      <c r="F3551" s="9"/>
    </row>
    <row r="3552" s="2" customFormat="1" ht="30" customHeight="1" spans="1:6">
      <c r="A3552" s="9">
        <v>3549</v>
      </c>
      <c r="B3552" s="10" t="s">
        <v>3377</v>
      </c>
      <c r="C3552" s="10" t="s">
        <v>3378</v>
      </c>
      <c r="D3552" s="10" t="s">
        <v>3497</v>
      </c>
      <c r="E3552" s="10" t="str">
        <f>"644020240512221212171402"</f>
        <v>644020240512221212171402</v>
      </c>
      <c r="F3552" s="9"/>
    </row>
    <row r="3553" s="2" customFormat="1" ht="30" customHeight="1" spans="1:6">
      <c r="A3553" s="9">
        <v>3550</v>
      </c>
      <c r="B3553" s="10" t="s">
        <v>3377</v>
      </c>
      <c r="C3553" s="10" t="s">
        <v>3378</v>
      </c>
      <c r="D3553" s="10" t="s">
        <v>3498</v>
      </c>
      <c r="E3553" s="10" t="str">
        <f>"644020240512132951169362"</f>
        <v>644020240512132951169362</v>
      </c>
      <c r="F3553" s="9"/>
    </row>
    <row r="3554" s="2" customFormat="1" ht="30" customHeight="1" spans="1:6">
      <c r="A3554" s="9">
        <v>3551</v>
      </c>
      <c r="B3554" s="10" t="s">
        <v>3377</v>
      </c>
      <c r="C3554" s="10" t="s">
        <v>3378</v>
      </c>
      <c r="D3554" s="10" t="s">
        <v>3499</v>
      </c>
      <c r="E3554" s="10" t="str">
        <f>"644020240512112117168844"</f>
        <v>644020240512112117168844</v>
      </c>
      <c r="F3554" s="9"/>
    </row>
    <row r="3555" s="2" customFormat="1" ht="30" customHeight="1" spans="1:6">
      <c r="A3555" s="9">
        <v>3552</v>
      </c>
      <c r="B3555" s="10" t="s">
        <v>3377</v>
      </c>
      <c r="C3555" s="10" t="s">
        <v>3378</v>
      </c>
      <c r="D3555" s="10" t="s">
        <v>3500</v>
      </c>
      <c r="E3555" s="10" t="str">
        <f>"644020240513235015177623"</f>
        <v>644020240513235015177623</v>
      </c>
      <c r="F3555" s="9"/>
    </row>
    <row r="3556" s="2" customFormat="1" ht="30" customHeight="1" spans="1:6">
      <c r="A3556" s="9">
        <v>3553</v>
      </c>
      <c r="B3556" s="10" t="s">
        <v>3377</v>
      </c>
      <c r="C3556" s="10" t="s">
        <v>3378</v>
      </c>
      <c r="D3556" s="10" t="s">
        <v>3501</v>
      </c>
      <c r="E3556" s="10" t="str">
        <f>"644020240514080906177814"</f>
        <v>644020240514080906177814</v>
      </c>
      <c r="F3556" s="9"/>
    </row>
    <row r="3557" s="2" customFormat="1" ht="30" customHeight="1" spans="1:6">
      <c r="A3557" s="9">
        <v>3554</v>
      </c>
      <c r="B3557" s="10" t="s">
        <v>3377</v>
      </c>
      <c r="C3557" s="10" t="s">
        <v>3378</v>
      </c>
      <c r="D3557" s="10" t="s">
        <v>3502</v>
      </c>
      <c r="E3557" s="10" t="str">
        <f>"644020240513092353172756"</f>
        <v>644020240513092353172756</v>
      </c>
      <c r="F3557" s="9"/>
    </row>
    <row r="3558" s="2" customFormat="1" ht="30" customHeight="1" spans="1:6">
      <c r="A3558" s="9">
        <v>3555</v>
      </c>
      <c r="B3558" s="10" t="s">
        <v>3377</v>
      </c>
      <c r="C3558" s="10" t="s">
        <v>3378</v>
      </c>
      <c r="D3558" s="10" t="s">
        <v>3503</v>
      </c>
      <c r="E3558" s="10" t="str">
        <f>"644020240513173554176257"</f>
        <v>644020240513173554176257</v>
      </c>
      <c r="F3558" s="9"/>
    </row>
    <row r="3559" s="2" customFormat="1" ht="30" customHeight="1" spans="1:6">
      <c r="A3559" s="9">
        <v>3556</v>
      </c>
      <c r="B3559" s="10" t="s">
        <v>3377</v>
      </c>
      <c r="C3559" s="10" t="s">
        <v>3378</v>
      </c>
      <c r="D3559" s="10" t="s">
        <v>3504</v>
      </c>
      <c r="E3559" s="10" t="str">
        <f>"644020240514081424177825"</f>
        <v>644020240514081424177825</v>
      </c>
      <c r="F3559" s="9"/>
    </row>
    <row r="3560" s="2" customFormat="1" ht="30" customHeight="1" spans="1:6">
      <c r="A3560" s="9">
        <v>3557</v>
      </c>
      <c r="B3560" s="10" t="s">
        <v>3377</v>
      </c>
      <c r="C3560" s="10" t="s">
        <v>3378</v>
      </c>
      <c r="D3560" s="10" t="s">
        <v>3505</v>
      </c>
      <c r="E3560" s="10" t="str">
        <f>"644020240514090455177992"</f>
        <v>644020240514090455177992</v>
      </c>
      <c r="F3560" s="9"/>
    </row>
    <row r="3561" s="2" customFormat="1" ht="30" customHeight="1" spans="1:6">
      <c r="A3561" s="9">
        <v>3558</v>
      </c>
      <c r="B3561" s="10" t="s">
        <v>3377</v>
      </c>
      <c r="C3561" s="10" t="s">
        <v>3378</v>
      </c>
      <c r="D3561" s="10" t="s">
        <v>3506</v>
      </c>
      <c r="E3561" s="10" t="str">
        <f>"644020240513160859175840"</f>
        <v>644020240513160859175840</v>
      </c>
      <c r="F3561" s="9"/>
    </row>
    <row r="3562" s="2" customFormat="1" ht="30" customHeight="1" spans="1:6">
      <c r="A3562" s="9">
        <v>3559</v>
      </c>
      <c r="B3562" s="10" t="s">
        <v>3377</v>
      </c>
      <c r="C3562" s="10" t="s">
        <v>3378</v>
      </c>
      <c r="D3562" s="10" t="s">
        <v>3507</v>
      </c>
      <c r="E3562" s="10" t="str">
        <f>"644020240514074320177794"</f>
        <v>644020240514074320177794</v>
      </c>
      <c r="F3562" s="9"/>
    </row>
    <row r="3563" s="2" customFormat="1" ht="30" customHeight="1" spans="1:6">
      <c r="A3563" s="9">
        <v>3560</v>
      </c>
      <c r="B3563" s="10" t="s">
        <v>3377</v>
      </c>
      <c r="C3563" s="10" t="s">
        <v>3378</v>
      </c>
      <c r="D3563" s="10" t="s">
        <v>3508</v>
      </c>
      <c r="E3563" s="10" t="str">
        <f>"644020240514092207178076"</f>
        <v>644020240514092207178076</v>
      </c>
      <c r="F3563" s="9"/>
    </row>
    <row r="3564" s="2" customFormat="1" ht="30" customHeight="1" spans="1:6">
      <c r="A3564" s="9">
        <v>3561</v>
      </c>
      <c r="B3564" s="10" t="s">
        <v>3377</v>
      </c>
      <c r="C3564" s="10" t="s">
        <v>3378</v>
      </c>
      <c r="D3564" s="10" t="s">
        <v>3509</v>
      </c>
      <c r="E3564" s="10" t="str">
        <f>"644020240514084650177908"</f>
        <v>644020240514084650177908</v>
      </c>
      <c r="F3564" s="9"/>
    </row>
    <row r="3565" s="2" customFormat="1" ht="30" customHeight="1" spans="1:6">
      <c r="A3565" s="9">
        <v>3562</v>
      </c>
      <c r="B3565" s="10" t="s">
        <v>3377</v>
      </c>
      <c r="C3565" s="10" t="s">
        <v>3378</v>
      </c>
      <c r="D3565" s="10" t="s">
        <v>3510</v>
      </c>
      <c r="E3565" s="10" t="str">
        <f>"644020240514094148178177"</f>
        <v>644020240514094148178177</v>
      </c>
      <c r="F3565" s="9"/>
    </row>
    <row r="3566" s="2" customFormat="1" ht="30" customHeight="1" spans="1:6">
      <c r="A3566" s="9">
        <v>3563</v>
      </c>
      <c r="B3566" s="10" t="s">
        <v>3377</v>
      </c>
      <c r="C3566" s="10" t="s">
        <v>3378</v>
      </c>
      <c r="D3566" s="10" t="s">
        <v>3511</v>
      </c>
      <c r="E3566" s="10" t="str">
        <f>"644020240514102109178379"</f>
        <v>644020240514102109178379</v>
      </c>
      <c r="F3566" s="9"/>
    </row>
    <row r="3567" s="2" customFormat="1" ht="30" customHeight="1" spans="1:6">
      <c r="A3567" s="9">
        <v>3564</v>
      </c>
      <c r="B3567" s="10" t="s">
        <v>3377</v>
      </c>
      <c r="C3567" s="10" t="s">
        <v>3378</v>
      </c>
      <c r="D3567" s="10" t="s">
        <v>3512</v>
      </c>
      <c r="E3567" s="10" t="str">
        <f>"644020240514101439178337"</f>
        <v>644020240514101439178337</v>
      </c>
      <c r="F3567" s="9"/>
    </row>
    <row r="3568" s="2" customFormat="1" ht="30" customHeight="1" spans="1:6">
      <c r="A3568" s="9">
        <v>3565</v>
      </c>
      <c r="B3568" s="10" t="s">
        <v>3377</v>
      </c>
      <c r="C3568" s="10" t="s">
        <v>3378</v>
      </c>
      <c r="D3568" s="10" t="s">
        <v>3513</v>
      </c>
      <c r="E3568" s="10" t="str">
        <f>"644020240512171852170172"</f>
        <v>644020240512171852170172</v>
      </c>
      <c r="F3568" s="9"/>
    </row>
    <row r="3569" s="2" customFormat="1" ht="30" customHeight="1" spans="1:6">
      <c r="A3569" s="9">
        <v>3566</v>
      </c>
      <c r="B3569" s="10" t="s">
        <v>3377</v>
      </c>
      <c r="C3569" s="10" t="s">
        <v>3378</v>
      </c>
      <c r="D3569" s="10" t="s">
        <v>3514</v>
      </c>
      <c r="E3569" s="10" t="str">
        <f>"644020240514102304178392"</f>
        <v>644020240514102304178392</v>
      </c>
      <c r="F3569" s="9"/>
    </row>
    <row r="3570" s="2" customFormat="1" ht="30" customHeight="1" spans="1:6">
      <c r="A3570" s="9">
        <v>3567</v>
      </c>
      <c r="B3570" s="10" t="s">
        <v>3377</v>
      </c>
      <c r="C3570" s="10" t="s">
        <v>3378</v>
      </c>
      <c r="D3570" s="10" t="s">
        <v>3515</v>
      </c>
      <c r="E3570" s="10" t="str">
        <f>"644020240514102243178388"</f>
        <v>644020240514102243178388</v>
      </c>
      <c r="F3570" s="9"/>
    </row>
    <row r="3571" s="2" customFormat="1" ht="30" customHeight="1" spans="1:6">
      <c r="A3571" s="9">
        <v>3568</v>
      </c>
      <c r="B3571" s="10" t="s">
        <v>3377</v>
      </c>
      <c r="C3571" s="10" t="s">
        <v>3378</v>
      </c>
      <c r="D3571" s="10" t="s">
        <v>3516</v>
      </c>
      <c r="E3571" s="10" t="str">
        <f>"644020240513133928174707"</f>
        <v>644020240513133928174707</v>
      </c>
      <c r="F3571" s="9"/>
    </row>
    <row r="3572" s="2" customFormat="1" ht="30" customHeight="1" spans="1:6">
      <c r="A3572" s="9">
        <v>3569</v>
      </c>
      <c r="B3572" s="10" t="s">
        <v>3377</v>
      </c>
      <c r="C3572" s="10" t="s">
        <v>3378</v>
      </c>
      <c r="D3572" s="10" t="s">
        <v>3517</v>
      </c>
      <c r="E3572" s="10" t="str">
        <f>"644020240514103424178461"</f>
        <v>644020240514103424178461</v>
      </c>
      <c r="F3572" s="9"/>
    </row>
    <row r="3573" s="2" customFormat="1" ht="30" customHeight="1" spans="1:6">
      <c r="A3573" s="9">
        <v>3570</v>
      </c>
      <c r="B3573" s="10" t="s">
        <v>3377</v>
      </c>
      <c r="C3573" s="10" t="s">
        <v>3378</v>
      </c>
      <c r="D3573" s="10" t="s">
        <v>3518</v>
      </c>
      <c r="E3573" s="10" t="str">
        <f>"644020240514112245178690"</f>
        <v>644020240514112245178690</v>
      </c>
      <c r="F3573" s="9"/>
    </row>
    <row r="3574" s="2" customFormat="1" ht="30" customHeight="1" spans="1:6">
      <c r="A3574" s="9">
        <v>3571</v>
      </c>
      <c r="B3574" s="10" t="s">
        <v>3377</v>
      </c>
      <c r="C3574" s="10" t="s">
        <v>3378</v>
      </c>
      <c r="D3574" s="10" t="s">
        <v>3519</v>
      </c>
      <c r="E3574" s="10" t="str">
        <f>"644020240514122855178893"</f>
        <v>644020240514122855178893</v>
      </c>
      <c r="F3574" s="9"/>
    </row>
    <row r="3575" s="2" customFormat="1" ht="30" customHeight="1" spans="1:6">
      <c r="A3575" s="9">
        <v>3572</v>
      </c>
      <c r="B3575" s="10" t="s">
        <v>3377</v>
      </c>
      <c r="C3575" s="10" t="s">
        <v>3378</v>
      </c>
      <c r="D3575" s="10" t="s">
        <v>3520</v>
      </c>
      <c r="E3575" s="10" t="str">
        <f>"644020240514123402178903"</f>
        <v>644020240514123402178903</v>
      </c>
      <c r="F3575" s="9"/>
    </row>
    <row r="3576" s="2" customFormat="1" ht="30" customHeight="1" spans="1:6">
      <c r="A3576" s="9">
        <v>3573</v>
      </c>
      <c r="B3576" s="10" t="s">
        <v>3377</v>
      </c>
      <c r="C3576" s="10" t="s">
        <v>3378</v>
      </c>
      <c r="D3576" s="10" t="s">
        <v>3521</v>
      </c>
      <c r="E3576" s="10" t="str">
        <f>"644020240514122212178881"</f>
        <v>644020240514122212178881</v>
      </c>
      <c r="F3576" s="9"/>
    </row>
    <row r="3577" s="2" customFormat="1" ht="30" customHeight="1" spans="1:6">
      <c r="A3577" s="9">
        <v>3574</v>
      </c>
      <c r="B3577" s="10" t="s">
        <v>3377</v>
      </c>
      <c r="C3577" s="10" t="s">
        <v>3378</v>
      </c>
      <c r="D3577" s="10" t="s">
        <v>3522</v>
      </c>
      <c r="E3577" s="10" t="str">
        <f>"644020240513103713173484"</f>
        <v>644020240513103713173484</v>
      </c>
      <c r="F3577" s="9"/>
    </row>
    <row r="3578" s="2" customFormat="1" ht="30" customHeight="1" spans="1:6">
      <c r="A3578" s="9">
        <v>3575</v>
      </c>
      <c r="B3578" s="10" t="s">
        <v>3377</v>
      </c>
      <c r="C3578" s="10" t="s">
        <v>3378</v>
      </c>
      <c r="D3578" s="10" t="s">
        <v>3523</v>
      </c>
      <c r="E3578" s="10" t="str">
        <f>"644020240514120516178833"</f>
        <v>644020240514120516178833</v>
      </c>
      <c r="F3578" s="9"/>
    </row>
    <row r="3579" s="2" customFormat="1" ht="30" customHeight="1" spans="1:6">
      <c r="A3579" s="9">
        <v>3576</v>
      </c>
      <c r="B3579" s="10" t="s">
        <v>3377</v>
      </c>
      <c r="C3579" s="10" t="s">
        <v>3378</v>
      </c>
      <c r="D3579" s="10" t="s">
        <v>3524</v>
      </c>
      <c r="E3579" s="10" t="str">
        <f>"644020240514124323178921"</f>
        <v>644020240514124323178921</v>
      </c>
      <c r="F3579" s="9"/>
    </row>
    <row r="3580" s="2" customFormat="1" ht="30" customHeight="1" spans="1:6">
      <c r="A3580" s="9">
        <v>3577</v>
      </c>
      <c r="B3580" s="10" t="s">
        <v>3377</v>
      </c>
      <c r="C3580" s="10" t="s">
        <v>3378</v>
      </c>
      <c r="D3580" s="10" t="s">
        <v>3525</v>
      </c>
      <c r="E3580" s="10" t="str">
        <f>"644020240514125931178955"</f>
        <v>644020240514125931178955</v>
      </c>
      <c r="F3580" s="9"/>
    </row>
    <row r="3581" s="2" customFormat="1" ht="30" customHeight="1" spans="1:6">
      <c r="A3581" s="9">
        <v>3578</v>
      </c>
      <c r="B3581" s="10" t="s">
        <v>3377</v>
      </c>
      <c r="C3581" s="10" t="s">
        <v>3378</v>
      </c>
      <c r="D3581" s="10" t="s">
        <v>3526</v>
      </c>
      <c r="E3581" s="10" t="str">
        <f>"644020240514130922178984"</f>
        <v>644020240514130922178984</v>
      </c>
      <c r="F3581" s="9"/>
    </row>
    <row r="3582" s="2" customFormat="1" ht="30" customHeight="1" spans="1:6">
      <c r="A3582" s="9">
        <v>3579</v>
      </c>
      <c r="B3582" s="10" t="s">
        <v>3377</v>
      </c>
      <c r="C3582" s="10" t="s">
        <v>3378</v>
      </c>
      <c r="D3582" s="10" t="s">
        <v>3527</v>
      </c>
      <c r="E3582" s="10" t="str">
        <f>"644020240514134518179045"</f>
        <v>644020240514134518179045</v>
      </c>
      <c r="F3582" s="9"/>
    </row>
    <row r="3583" s="2" customFormat="1" ht="30" customHeight="1" spans="1:6">
      <c r="A3583" s="9">
        <v>3580</v>
      </c>
      <c r="B3583" s="10" t="s">
        <v>3377</v>
      </c>
      <c r="C3583" s="10" t="s">
        <v>3378</v>
      </c>
      <c r="D3583" s="10" t="s">
        <v>3528</v>
      </c>
      <c r="E3583" s="10" t="str">
        <f>"644020240514134933179053"</f>
        <v>644020240514134933179053</v>
      </c>
      <c r="F3583" s="9"/>
    </row>
    <row r="3584" s="2" customFormat="1" ht="30" customHeight="1" spans="1:6">
      <c r="A3584" s="9">
        <v>3581</v>
      </c>
      <c r="B3584" s="10" t="s">
        <v>3377</v>
      </c>
      <c r="C3584" s="10" t="s">
        <v>3378</v>
      </c>
      <c r="D3584" s="10" t="s">
        <v>3529</v>
      </c>
      <c r="E3584" s="10" t="str">
        <f>"644020240512115940169005"</f>
        <v>644020240512115940169005</v>
      </c>
      <c r="F3584" s="9"/>
    </row>
    <row r="3585" s="2" customFormat="1" ht="30" customHeight="1" spans="1:6">
      <c r="A3585" s="9">
        <v>3582</v>
      </c>
      <c r="B3585" s="10" t="s">
        <v>3377</v>
      </c>
      <c r="C3585" s="10" t="s">
        <v>3378</v>
      </c>
      <c r="D3585" s="10" t="s">
        <v>3530</v>
      </c>
      <c r="E3585" s="10" t="str">
        <f>"644020240513175944176342"</f>
        <v>644020240513175944176342</v>
      </c>
      <c r="F3585" s="9"/>
    </row>
    <row r="3586" s="2" customFormat="1" ht="30" customHeight="1" spans="1:6">
      <c r="A3586" s="9">
        <v>3583</v>
      </c>
      <c r="B3586" s="10" t="s">
        <v>3377</v>
      </c>
      <c r="C3586" s="10" t="s">
        <v>3378</v>
      </c>
      <c r="D3586" s="10" t="s">
        <v>3531</v>
      </c>
      <c r="E3586" s="10" t="str">
        <f>"644020240513093611172870"</f>
        <v>644020240513093611172870</v>
      </c>
      <c r="F3586" s="9"/>
    </row>
    <row r="3587" s="2" customFormat="1" ht="30" customHeight="1" spans="1:6">
      <c r="A3587" s="9">
        <v>3584</v>
      </c>
      <c r="B3587" s="10" t="s">
        <v>3377</v>
      </c>
      <c r="C3587" s="10" t="s">
        <v>3378</v>
      </c>
      <c r="D3587" s="10" t="s">
        <v>3532</v>
      </c>
      <c r="E3587" s="10" t="str">
        <f>"644020240513151319175309"</f>
        <v>644020240513151319175309</v>
      </c>
      <c r="F3587" s="9"/>
    </row>
    <row r="3588" s="2" customFormat="1" ht="30" customHeight="1" spans="1:6">
      <c r="A3588" s="9">
        <v>3585</v>
      </c>
      <c r="B3588" s="10" t="s">
        <v>3377</v>
      </c>
      <c r="C3588" s="10" t="s">
        <v>3378</v>
      </c>
      <c r="D3588" s="10" t="s">
        <v>3533</v>
      </c>
      <c r="E3588" s="10" t="str">
        <f>"644020240512191337170548"</f>
        <v>644020240512191337170548</v>
      </c>
      <c r="F3588" s="9"/>
    </row>
    <row r="3589" s="2" customFormat="1" ht="30" customHeight="1" spans="1:6">
      <c r="A3589" s="9">
        <v>3586</v>
      </c>
      <c r="B3589" s="10" t="s">
        <v>3377</v>
      </c>
      <c r="C3589" s="10" t="s">
        <v>3378</v>
      </c>
      <c r="D3589" s="10" t="s">
        <v>3534</v>
      </c>
      <c r="E3589" s="10" t="str">
        <f>"644020240513180538176364"</f>
        <v>644020240513180538176364</v>
      </c>
      <c r="F3589" s="9"/>
    </row>
    <row r="3590" s="2" customFormat="1" ht="30" customHeight="1" spans="1:6">
      <c r="A3590" s="9">
        <v>3587</v>
      </c>
      <c r="B3590" s="10" t="s">
        <v>3377</v>
      </c>
      <c r="C3590" s="10" t="s">
        <v>3378</v>
      </c>
      <c r="D3590" s="10" t="s">
        <v>3535</v>
      </c>
      <c r="E3590" s="10" t="str">
        <f>"644020240513085918172476"</f>
        <v>644020240513085918172476</v>
      </c>
      <c r="F3590" s="9"/>
    </row>
    <row r="3591" s="2" customFormat="1" ht="30" customHeight="1" spans="1:6">
      <c r="A3591" s="9">
        <v>3588</v>
      </c>
      <c r="B3591" s="10" t="s">
        <v>3377</v>
      </c>
      <c r="C3591" s="10" t="s">
        <v>3378</v>
      </c>
      <c r="D3591" s="10" t="s">
        <v>3536</v>
      </c>
      <c r="E3591" s="10" t="str">
        <f>"644020240513031237172076"</f>
        <v>644020240513031237172076</v>
      </c>
      <c r="F3591" s="9"/>
    </row>
    <row r="3592" s="2" customFormat="1" ht="30" customHeight="1" spans="1:6">
      <c r="A3592" s="9">
        <v>3589</v>
      </c>
      <c r="B3592" s="10" t="s">
        <v>3377</v>
      </c>
      <c r="C3592" s="10" t="s">
        <v>3378</v>
      </c>
      <c r="D3592" s="10" t="s">
        <v>659</v>
      </c>
      <c r="E3592" s="10" t="str">
        <f>"644020240514160955179426"</f>
        <v>644020240514160955179426</v>
      </c>
      <c r="F3592" s="9"/>
    </row>
    <row r="3593" s="2" customFormat="1" ht="30" customHeight="1" spans="1:6">
      <c r="A3593" s="9">
        <v>3590</v>
      </c>
      <c r="B3593" s="10" t="s">
        <v>3377</v>
      </c>
      <c r="C3593" s="10" t="s">
        <v>3378</v>
      </c>
      <c r="D3593" s="10" t="s">
        <v>3537</v>
      </c>
      <c r="E3593" s="10" t="str">
        <f>"644020240514125409178941"</f>
        <v>644020240514125409178941</v>
      </c>
      <c r="F3593" s="9"/>
    </row>
    <row r="3594" s="2" customFormat="1" ht="30" customHeight="1" spans="1:6">
      <c r="A3594" s="9">
        <v>3591</v>
      </c>
      <c r="B3594" s="10" t="s">
        <v>3377</v>
      </c>
      <c r="C3594" s="10" t="s">
        <v>3378</v>
      </c>
      <c r="D3594" s="10" t="s">
        <v>3538</v>
      </c>
      <c r="E3594" s="10" t="str">
        <f>"644020240514153217179310"</f>
        <v>644020240514153217179310</v>
      </c>
      <c r="F3594" s="9"/>
    </row>
    <row r="3595" s="2" customFormat="1" ht="30" customHeight="1" spans="1:6">
      <c r="A3595" s="9">
        <v>3592</v>
      </c>
      <c r="B3595" s="10" t="s">
        <v>3377</v>
      </c>
      <c r="C3595" s="10" t="s">
        <v>3378</v>
      </c>
      <c r="D3595" s="10" t="s">
        <v>3539</v>
      </c>
      <c r="E3595" s="10" t="str">
        <f>"644020240514153701179328"</f>
        <v>644020240514153701179328</v>
      </c>
      <c r="F3595" s="9"/>
    </row>
    <row r="3596" s="2" customFormat="1" ht="30" customHeight="1" spans="1:6">
      <c r="A3596" s="9">
        <v>3593</v>
      </c>
      <c r="B3596" s="10" t="s">
        <v>3377</v>
      </c>
      <c r="C3596" s="10" t="s">
        <v>3378</v>
      </c>
      <c r="D3596" s="10" t="s">
        <v>3540</v>
      </c>
      <c r="E3596" s="10" t="str">
        <f>"644020240513211717177034"</f>
        <v>644020240513211717177034</v>
      </c>
      <c r="F3596" s="9"/>
    </row>
    <row r="3597" s="2" customFormat="1" ht="30" customHeight="1" spans="1:6">
      <c r="A3597" s="9">
        <v>3594</v>
      </c>
      <c r="B3597" s="10" t="s">
        <v>3377</v>
      </c>
      <c r="C3597" s="10" t="s">
        <v>3378</v>
      </c>
      <c r="D3597" s="10" t="s">
        <v>3541</v>
      </c>
      <c r="E3597" s="10" t="str">
        <f>"644020240514163015179501"</f>
        <v>644020240514163015179501</v>
      </c>
      <c r="F3597" s="9"/>
    </row>
    <row r="3598" s="2" customFormat="1" ht="30" customHeight="1" spans="1:6">
      <c r="A3598" s="9">
        <v>3595</v>
      </c>
      <c r="B3598" s="10" t="s">
        <v>3377</v>
      </c>
      <c r="C3598" s="10" t="s">
        <v>3378</v>
      </c>
      <c r="D3598" s="10" t="s">
        <v>3542</v>
      </c>
      <c r="E3598" s="10" t="str">
        <f>"644020240514165202179575"</f>
        <v>644020240514165202179575</v>
      </c>
      <c r="F3598" s="9"/>
    </row>
    <row r="3599" s="2" customFormat="1" ht="30" customHeight="1" spans="1:6">
      <c r="A3599" s="9">
        <v>3596</v>
      </c>
      <c r="B3599" s="10" t="s">
        <v>3377</v>
      </c>
      <c r="C3599" s="10" t="s">
        <v>3378</v>
      </c>
      <c r="D3599" s="10" t="s">
        <v>3543</v>
      </c>
      <c r="E3599" s="10" t="str">
        <f>"644020240514155128179371"</f>
        <v>644020240514155128179371</v>
      </c>
      <c r="F3599" s="9"/>
    </row>
    <row r="3600" s="2" customFormat="1" ht="30" customHeight="1" spans="1:6">
      <c r="A3600" s="9">
        <v>3597</v>
      </c>
      <c r="B3600" s="10" t="s">
        <v>3377</v>
      </c>
      <c r="C3600" s="10" t="s">
        <v>3378</v>
      </c>
      <c r="D3600" s="10" t="s">
        <v>3544</v>
      </c>
      <c r="E3600" s="10" t="str">
        <f>"644020240514165402179586"</f>
        <v>644020240514165402179586</v>
      </c>
      <c r="F3600" s="9"/>
    </row>
    <row r="3601" s="2" customFormat="1" ht="30" customHeight="1" spans="1:6">
      <c r="A3601" s="9">
        <v>3598</v>
      </c>
      <c r="B3601" s="10" t="s">
        <v>3377</v>
      </c>
      <c r="C3601" s="10" t="s">
        <v>3378</v>
      </c>
      <c r="D3601" s="10" t="s">
        <v>3545</v>
      </c>
      <c r="E3601" s="10" t="str">
        <f>"644020240514165018179572"</f>
        <v>644020240514165018179572</v>
      </c>
      <c r="F3601" s="9"/>
    </row>
    <row r="3602" s="2" customFormat="1" ht="30" customHeight="1" spans="1:6">
      <c r="A3602" s="9">
        <v>3599</v>
      </c>
      <c r="B3602" s="10" t="s">
        <v>3377</v>
      </c>
      <c r="C3602" s="10" t="s">
        <v>3378</v>
      </c>
      <c r="D3602" s="10" t="s">
        <v>3546</v>
      </c>
      <c r="E3602" s="10" t="str">
        <f>"644020240514160420179410"</f>
        <v>644020240514160420179410</v>
      </c>
      <c r="F3602" s="9"/>
    </row>
    <row r="3603" s="2" customFormat="1" ht="30" customHeight="1" spans="1:6">
      <c r="A3603" s="9">
        <v>3600</v>
      </c>
      <c r="B3603" s="10" t="s">
        <v>3377</v>
      </c>
      <c r="C3603" s="10" t="s">
        <v>3378</v>
      </c>
      <c r="D3603" s="10" t="s">
        <v>3547</v>
      </c>
      <c r="E3603" s="10" t="str">
        <f>"644020240514135524179064"</f>
        <v>644020240514135524179064</v>
      </c>
      <c r="F3603" s="9"/>
    </row>
    <row r="3604" s="2" customFormat="1" ht="30" customHeight="1" spans="1:6">
      <c r="A3604" s="9">
        <v>3601</v>
      </c>
      <c r="B3604" s="10" t="s">
        <v>3377</v>
      </c>
      <c r="C3604" s="10" t="s">
        <v>3378</v>
      </c>
      <c r="D3604" s="10" t="s">
        <v>3548</v>
      </c>
      <c r="E3604" s="10" t="str">
        <f>"644020240513153453175518"</f>
        <v>644020240513153453175518</v>
      </c>
      <c r="F3604" s="9"/>
    </row>
    <row r="3605" s="2" customFormat="1" ht="30" customHeight="1" spans="1:6">
      <c r="A3605" s="9">
        <v>3602</v>
      </c>
      <c r="B3605" s="10" t="s">
        <v>3377</v>
      </c>
      <c r="C3605" s="10" t="s">
        <v>3378</v>
      </c>
      <c r="D3605" s="10" t="s">
        <v>3549</v>
      </c>
      <c r="E3605" s="10" t="str">
        <f>"644020240513155951175781"</f>
        <v>644020240513155951175781</v>
      </c>
      <c r="F3605" s="9"/>
    </row>
    <row r="3606" s="2" customFormat="1" ht="30" customHeight="1" spans="1:6">
      <c r="A3606" s="9">
        <v>3603</v>
      </c>
      <c r="B3606" s="10" t="s">
        <v>3377</v>
      </c>
      <c r="C3606" s="10" t="s">
        <v>3378</v>
      </c>
      <c r="D3606" s="10" t="s">
        <v>3550</v>
      </c>
      <c r="E3606" s="10" t="str">
        <f>"644020240514101151178316"</f>
        <v>644020240514101151178316</v>
      </c>
      <c r="F3606" s="9"/>
    </row>
    <row r="3607" s="2" customFormat="1" ht="30" customHeight="1" spans="1:6">
      <c r="A3607" s="9">
        <v>3604</v>
      </c>
      <c r="B3607" s="10" t="s">
        <v>3377</v>
      </c>
      <c r="C3607" s="10" t="s">
        <v>3378</v>
      </c>
      <c r="D3607" s="10" t="s">
        <v>3551</v>
      </c>
      <c r="E3607" s="10" t="str">
        <f>"644020240514145235179186"</f>
        <v>644020240514145235179186</v>
      </c>
      <c r="F3607" s="9"/>
    </row>
    <row r="3608" s="2" customFormat="1" ht="30" customHeight="1" spans="1:6">
      <c r="A3608" s="9">
        <v>3605</v>
      </c>
      <c r="B3608" s="10" t="s">
        <v>3377</v>
      </c>
      <c r="C3608" s="10" t="s">
        <v>3378</v>
      </c>
      <c r="D3608" s="10" t="s">
        <v>3552</v>
      </c>
      <c r="E3608" s="10" t="str">
        <f>"644020240513220808177263"</f>
        <v>644020240513220808177263</v>
      </c>
      <c r="F3608" s="9"/>
    </row>
    <row r="3609" s="2" customFormat="1" ht="30" customHeight="1" spans="1:6">
      <c r="A3609" s="9">
        <v>3606</v>
      </c>
      <c r="B3609" s="10" t="s">
        <v>3377</v>
      </c>
      <c r="C3609" s="10" t="s">
        <v>3378</v>
      </c>
      <c r="D3609" s="10" t="s">
        <v>3553</v>
      </c>
      <c r="E3609" s="10" t="str">
        <f>"644020240514184916179866"</f>
        <v>644020240514184916179866</v>
      </c>
      <c r="F3609" s="9"/>
    </row>
    <row r="3610" s="2" customFormat="1" ht="30" customHeight="1" spans="1:6">
      <c r="A3610" s="9">
        <v>3607</v>
      </c>
      <c r="B3610" s="10" t="s">
        <v>3377</v>
      </c>
      <c r="C3610" s="10" t="s">
        <v>3378</v>
      </c>
      <c r="D3610" s="10" t="s">
        <v>3554</v>
      </c>
      <c r="E3610" s="10" t="str">
        <f>"644020240514190857179904"</f>
        <v>644020240514190857179904</v>
      </c>
      <c r="F3610" s="9"/>
    </row>
    <row r="3611" s="2" customFormat="1" ht="30" customHeight="1" spans="1:6">
      <c r="A3611" s="9">
        <v>3608</v>
      </c>
      <c r="B3611" s="10" t="s">
        <v>3377</v>
      </c>
      <c r="C3611" s="10" t="s">
        <v>3378</v>
      </c>
      <c r="D3611" s="10" t="s">
        <v>3555</v>
      </c>
      <c r="E3611" s="10" t="str">
        <f>"644020240514154201179343"</f>
        <v>644020240514154201179343</v>
      </c>
      <c r="F3611" s="9"/>
    </row>
    <row r="3612" s="2" customFormat="1" ht="30" customHeight="1" spans="1:6">
      <c r="A3612" s="9">
        <v>3609</v>
      </c>
      <c r="B3612" s="10" t="s">
        <v>3377</v>
      </c>
      <c r="C3612" s="10" t="s">
        <v>3378</v>
      </c>
      <c r="D3612" s="10" t="s">
        <v>3556</v>
      </c>
      <c r="E3612" s="10" t="str">
        <f>"644020240514184055179846"</f>
        <v>644020240514184055179846</v>
      </c>
      <c r="F3612" s="9"/>
    </row>
    <row r="3613" s="2" customFormat="1" ht="30" customHeight="1" spans="1:6">
      <c r="A3613" s="9">
        <v>3610</v>
      </c>
      <c r="B3613" s="10" t="s">
        <v>3377</v>
      </c>
      <c r="C3613" s="10" t="s">
        <v>3378</v>
      </c>
      <c r="D3613" s="10" t="s">
        <v>3557</v>
      </c>
      <c r="E3613" s="10" t="str">
        <f>"644020240514164428179552"</f>
        <v>644020240514164428179552</v>
      </c>
      <c r="F3613" s="9"/>
    </row>
    <row r="3614" s="2" customFormat="1" ht="30" customHeight="1" spans="1:6">
      <c r="A3614" s="9">
        <v>3611</v>
      </c>
      <c r="B3614" s="10" t="s">
        <v>3377</v>
      </c>
      <c r="C3614" s="10" t="s">
        <v>3378</v>
      </c>
      <c r="D3614" s="10" t="s">
        <v>3558</v>
      </c>
      <c r="E3614" s="10" t="str">
        <f>"644020240514193616179939"</f>
        <v>644020240514193616179939</v>
      </c>
      <c r="F3614" s="9"/>
    </row>
    <row r="3615" s="2" customFormat="1" ht="30" customHeight="1" spans="1:6">
      <c r="A3615" s="9">
        <v>3612</v>
      </c>
      <c r="B3615" s="10" t="s">
        <v>3377</v>
      </c>
      <c r="C3615" s="10" t="s">
        <v>3378</v>
      </c>
      <c r="D3615" s="10" t="s">
        <v>3559</v>
      </c>
      <c r="E3615" s="10" t="str">
        <f>"644020240514122158178880"</f>
        <v>644020240514122158178880</v>
      </c>
      <c r="F3615" s="9"/>
    </row>
    <row r="3616" s="2" customFormat="1" ht="30" customHeight="1" spans="1:6">
      <c r="A3616" s="9">
        <v>3613</v>
      </c>
      <c r="B3616" s="10" t="s">
        <v>3377</v>
      </c>
      <c r="C3616" s="10" t="s">
        <v>3378</v>
      </c>
      <c r="D3616" s="10" t="s">
        <v>3560</v>
      </c>
      <c r="E3616" s="10" t="str">
        <f>"644020240513100628173175"</f>
        <v>644020240513100628173175</v>
      </c>
      <c r="F3616" s="9"/>
    </row>
    <row r="3617" s="2" customFormat="1" ht="30" customHeight="1" spans="1:6">
      <c r="A3617" s="9">
        <v>3614</v>
      </c>
      <c r="B3617" s="10" t="s">
        <v>3377</v>
      </c>
      <c r="C3617" s="10" t="s">
        <v>3378</v>
      </c>
      <c r="D3617" s="10" t="s">
        <v>3561</v>
      </c>
      <c r="E3617" s="10" t="str">
        <f>"644020240513221630177307"</f>
        <v>644020240513221630177307</v>
      </c>
      <c r="F3617" s="9"/>
    </row>
    <row r="3618" s="2" customFormat="1" ht="30" customHeight="1" spans="1:6">
      <c r="A3618" s="9">
        <v>3615</v>
      </c>
      <c r="B3618" s="10" t="s">
        <v>3377</v>
      </c>
      <c r="C3618" s="10" t="s">
        <v>3378</v>
      </c>
      <c r="D3618" s="10" t="s">
        <v>3562</v>
      </c>
      <c r="E3618" s="10" t="str">
        <f>"644020240514172124179685"</f>
        <v>644020240514172124179685</v>
      </c>
      <c r="F3618" s="9"/>
    </row>
    <row r="3619" s="2" customFormat="1" ht="30" customHeight="1" spans="1:6">
      <c r="A3619" s="9">
        <v>3616</v>
      </c>
      <c r="B3619" s="10" t="s">
        <v>3377</v>
      </c>
      <c r="C3619" s="10" t="s">
        <v>3378</v>
      </c>
      <c r="D3619" s="10" t="s">
        <v>3563</v>
      </c>
      <c r="E3619" s="10" t="str">
        <f>"644020240514215631180282"</f>
        <v>644020240514215631180282</v>
      </c>
      <c r="F3619" s="9"/>
    </row>
    <row r="3620" s="2" customFormat="1" ht="30" customHeight="1" spans="1:6">
      <c r="A3620" s="9">
        <v>3617</v>
      </c>
      <c r="B3620" s="10" t="s">
        <v>3377</v>
      </c>
      <c r="C3620" s="10" t="s">
        <v>3378</v>
      </c>
      <c r="D3620" s="10" t="s">
        <v>3564</v>
      </c>
      <c r="E3620" s="10" t="str">
        <f>"644020240514145506179194"</f>
        <v>644020240514145506179194</v>
      </c>
      <c r="F3620" s="9"/>
    </row>
    <row r="3621" s="2" customFormat="1" ht="30" customHeight="1" spans="1:6">
      <c r="A3621" s="9">
        <v>3618</v>
      </c>
      <c r="B3621" s="10" t="s">
        <v>3377</v>
      </c>
      <c r="C3621" s="10" t="s">
        <v>3378</v>
      </c>
      <c r="D3621" s="10" t="s">
        <v>3565</v>
      </c>
      <c r="E3621" s="10" t="str">
        <f>"644020240514224116180416"</f>
        <v>644020240514224116180416</v>
      </c>
      <c r="F3621" s="9"/>
    </row>
    <row r="3622" s="2" customFormat="1" ht="30" customHeight="1" spans="1:6">
      <c r="A3622" s="9">
        <v>3619</v>
      </c>
      <c r="B3622" s="10" t="s">
        <v>3377</v>
      </c>
      <c r="C3622" s="10" t="s">
        <v>3378</v>
      </c>
      <c r="D3622" s="10" t="s">
        <v>3566</v>
      </c>
      <c r="E3622" s="10" t="str">
        <f>"644020240514222506180364"</f>
        <v>644020240514222506180364</v>
      </c>
      <c r="F3622" s="9"/>
    </row>
    <row r="3623" s="2" customFormat="1" ht="30" customHeight="1" spans="1:6">
      <c r="A3623" s="9">
        <v>3620</v>
      </c>
      <c r="B3623" s="10" t="s">
        <v>3377</v>
      </c>
      <c r="C3623" s="10" t="s">
        <v>3378</v>
      </c>
      <c r="D3623" s="10" t="s">
        <v>3567</v>
      </c>
      <c r="E3623" s="10" t="str">
        <f>"644020240514101159178320"</f>
        <v>644020240514101159178320</v>
      </c>
      <c r="F3623" s="9"/>
    </row>
    <row r="3624" s="2" customFormat="1" ht="30" customHeight="1" spans="1:6">
      <c r="A3624" s="9">
        <v>3621</v>
      </c>
      <c r="B3624" s="10" t="s">
        <v>3377</v>
      </c>
      <c r="C3624" s="10" t="s">
        <v>3378</v>
      </c>
      <c r="D3624" s="10" t="s">
        <v>3568</v>
      </c>
      <c r="E3624" s="10" t="str">
        <f>"644020240513153352175505"</f>
        <v>644020240513153352175505</v>
      </c>
      <c r="F3624" s="9"/>
    </row>
    <row r="3625" s="2" customFormat="1" ht="30" customHeight="1" spans="1:6">
      <c r="A3625" s="9">
        <v>3622</v>
      </c>
      <c r="B3625" s="10" t="s">
        <v>3377</v>
      </c>
      <c r="C3625" s="10" t="s">
        <v>3378</v>
      </c>
      <c r="D3625" s="10" t="s">
        <v>3569</v>
      </c>
      <c r="E3625" s="10" t="str">
        <f>"644020240512210047170998"</f>
        <v>644020240512210047170998</v>
      </c>
      <c r="F3625" s="9"/>
    </row>
    <row r="3626" s="2" customFormat="1" ht="30" customHeight="1" spans="1:6">
      <c r="A3626" s="9">
        <v>3623</v>
      </c>
      <c r="B3626" s="10" t="s">
        <v>3377</v>
      </c>
      <c r="C3626" s="10" t="s">
        <v>3378</v>
      </c>
      <c r="D3626" s="10" t="s">
        <v>3570</v>
      </c>
      <c r="E3626" s="10" t="str">
        <f>"644020240514111418178653"</f>
        <v>644020240514111418178653</v>
      </c>
      <c r="F3626" s="9"/>
    </row>
    <row r="3627" s="2" customFormat="1" ht="30" customHeight="1" spans="1:6">
      <c r="A3627" s="9">
        <v>3624</v>
      </c>
      <c r="B3627" s="10" t="s">
        <v>3377</v>
      </c>
      <c r="C3627" s="10" t="s">
        <v>3378</v>
      </c>
      <c r="D3627" s="10" t="s">
        <v>3571</v>
      </c>
      <c r="E3627" s="10" t="str">
        <f>"644020240514162311179477"</f>
        <v>644020240514162311179477</v>
      </c>
      <c r="F3627" s="9"/>
    </row>
    <row r="3628" s="2" customFormat="1" ht="30" customHeight="1" spans="1:6">
      <c r="A3628" s="9">
        <v>3625</v>
      </c>
      <c r="B3628" s="10" t="s">
        <v>3377</v>
      </c>
      <c r="C3628" s="10" t="s">
        <v>3378</v>
      </c>
      <c r="D3628" s="10" t="s">
        <v>3572</v>
      </c>
      <c r="E3628" s="10" t="str">
        <f>"644020240513010815172032"</f>
        <v>644020240513010815172032</v>
      </c>
      <c r="F3628" s="9"/>
    </row>
    <row r="3629" s="2" customFormat="1" ht="30" customHeight="1" spans="1:6">
      <c r="A3629" s="9">
        <v>3626</v>
      </c>
      <c r="B3629" s="10" t="s">
        <v>3377</v>
      </c>
      <c r="C3629" s="10" t="s">
        <v>3378</v>
      </c>
      <c r="D3629" s="10" t="s">
        <v>3573</v>
      </c>
      <c r="E3629" s="10" t="str">
        <f>"644020240514232024180506"</f>
        <v>644020240514232024180506</v>
      </c>
      <c r="F3629" s="9"/>
    </row>
    <row r="3630" s="2" customFormat="1" ht="30" customHeight="1" spans="1:6">
      <c r="A3630" s="9">
        <v>3627</v>
      </c>
      <c r="B3630" s="10" t="s">
        <v>3377</v>
      </c>
      <c r="C3630" s="10" t="s">
        <v>3378</v>
      </c>
      <c r="D3630" s="10" t="s">
        <v>3574</v>
      </c>
      <c r="E3630" s="10" t="str">
        <f>"644020240514085415177928"</f>
        <v>644020240514085415177928</v>
      </c>
      <c r="F3630" s="9"/>
    </row>
    <row r="3631" s="2" customFormat="1" ht="30" customHeight="1" spans="1:6">
      <c r="A3631" s="9">
        <v>3628</v>
      </c>
      <c r="B3631" s="10" t="s">
        <v>3377</v>
      </c>
      <c r="C3631" s="10" t="s">
        <v>3378</v>
      </c>
      <c r="D3631" s="10" t="s">
        <v>3575</v>
      </c>
      <c r="E3631" s="10" t="str">
        <f>"644020240514165929179608"</f>
        <v>644020240514165929179608</v>
      </c>
      <c r="F3631" s="9"/>
    </row>
    <row r="3632" s="2" customFormat="1" ht="30" customHeight="1" spans="1:6">
      <c r="A3632" s="9">
        <v>3629</v>
      </c>
      <c r="B3632" s="10" t="s">
        <v>3377</v>
      </c>
      <c r="C3632" s="10" t="s">
        <v>3378</v>
      </c>
      <c r="D3632" s="10" t="s">
        <v>3576</v>
      </c>
      <c r="E3632" s="10" t="str">
        <f>"644020240514003434177686"</f>
        <v>644020240514003434177686</v>
      </c>
      <c r="F3632" s="9"/>
    </row>
    <row r="3633" s="2" customFormat="1" ht="30" customHeight="1" spans="1:6">
      <c r="A3633" s="9">
        <v>3630</v>
      </c>
      <c r="B3633" s="10" t="s">
        <v>3377</v>
      </c>
      <c r="C3633" s="10" t="s">
        <v>3378</v>
      </c>
      <c r="D3633" s="10" t="s">
        <v>3577</v>
      </c>
      <c r="E3633" s="10" t="str">
        <f>"644020240513182820176423"</f>
        <v>644020240513182820176423</v>
      </c>
      <c r="F3633" s="9"/>
    </row>
    <row r="3634" s="2" customFormat="1" ht="30" customHeight="1" spans="1:6">
      <c r="A3634" s="9">
        <v>3631</v>
      </c>
      <c r="B3634" s="10" t="s">
        <v>3377</v>
      </c>
      <c r="C3634" s="10" t="s">
        <v>3378</v>
      </c>
      <c r="D3634" s="10" t="s">
        <v>3578</v>
      </c>
      <c r="E3634" s="10" t="str">
        <f>"644020240513090334172528"</f>
        <v>644020240513090334172528</v>
      </c>
      <c r="F3634" s="9"/>
    </row>
    <row r="3635" s="2" customFormat="1" ht="30" customHeight="1" spans="1:6">
      <c r="A3635" s="9">
        <v>3632</v>
      </c>
      <c r="B3635" s="10" t="s">
        <v>3377</v>
      </c>
      <c r="C3635" s="10" t="s">
        <v>3378</v>
      </c>
      <c r="D3635" s="10" t="s">
        <v>3579</v>
      </c>
      <c r="E3635" s="10" t="str">
        <f>"644020240515013941180622"</f>
        <v>644020240515013941180622</v>
      </c>
      <c r="F3635" s="9"/>
    </row>
    <row r="3636" s="2" customFormat="1" ht="30" customHeight="1" spans="1:6">
      <c r="A3636" s="9">
        <v>3633</v>
      </c>
      <c r="B3636" s="10" t="s">
        <v>3377</v>
      </c>
      <c r="C3636" s="10" t="s">
        <v>3378</v>
      </c>
      <c r="D3636" s="10" t="s">
        <v>3580</v>
      </c>
      <c r="E3636" s="10" t="str">
        <f>"644020240513082536172273"</f>
        <v>644020240513082536172273</v>
      </c>
      <c r="F3636" s="9"/>
    </row>
    <row r="3637" s="2" customFormat="1" ht="30" customHeight="1" spans="1:6">
      <c r="A3637" s="9">
        <v>3634</v>
      </c>
      <c r="B3637" s="10" t="s">
        <v>3377</v>
      </c>
      <c r="C3637" s="10" t="s">
        <v>3378</v>
      </c>
      <c r="D3637" s="10" t="s">
        <v>3581</v>
      </c>
      <c r="E3637" s="10" t="str">
        <f>"644020240515080150180665"</f>
        <v>644020240515080150180665</v>
      </c>
      <c r="F3637" s="9"/>
    </row>
    <row r="3638" s="2" customFormat="1" ht="30" customHeight="1" spans="1:6">
      <c r="A3638" s="9">
        <v>3635</v>
      </c>
      <c r="B3638" s="10" t="s">
        <v>3377</v>
      </c>
      <c r="C3638" s="10" t="s">
        <v>3378</v>
      </c>
      <c r="D3638" s="10" t="s">
        <v>3582</v>
      </c>
      <c r="E3638" s="10" t="str">
        <f>"644020240513155256175717"</f>
        <v>644020240513155256175717</v>
      </c>
      <c r="F3638" s="9"/>
    </row>
    <row r="3639" s="2" customFormat="1" ht="30" customHeight="1" spans="1:6">
      <c r="A3639" s="9">
        <v>3636</v>
      </c>
      <c r="B3639" s="10" t="s">
        <v>3377</v>
      </c>
      <c r="C3639" s="10" t="s">
        <v>3378</v>
      </c>
      <c r="D3639" s="10" t="s">
        <v>3583</v>
      </c>
      <c r="E3639" s="10" t="str">
        <f>"644020240514155108179369"</f>
        <v>644020240514155108179369</v>
      </c>
      <c r="F3639" s="9"/>
    </row>
    <row r="3640" s="2" customFormat="1" ht="30" customHeight="1" spans="1:6">
      <c r="A3640" s="9">
        <v>3637</v>
      </c>
      <c r="B3640" s="10" t="s">
        <v>3377</v>
      </c>
      <c r="C3640" s="10" t="s">
        <v>3378</v>
      </c>
      <c r="D3640" s="10" t="s">
        <v>3584</v>
      </c>
      <c r="E3640" s="10" t="str">
        <f>"644020240515092424180836"</f>
        <v>644020240515092424180836</v>
      </c>
      <c r="F3640" s="9"/>
    </row>
    <row r="3641" s="2" customFormat="1" ht="30" customHeight="1" spans="1:6">
      <c r="A3641" s="9">
        <v>3638</v>
      </c>
      <c r="B3641" s="10" t="s">
        <v>3377</v>
      </c>
      <c r="C3641" s="10" t="s">
        <v>3378</v>
      </c>
      <c r="D3641" s="10" t="s">
        <v>3585</v>
      </c>
      <c r="E3641" s="10" t="str">
        <f>"644020240513132539174637"</f>
        <v>644020240513132539174637</v>
      </c>
      <c r="F3641" s="9"/>
    </row>
    <row r="3642" s="2" customFormat="1" ht="30" customHeight="1" spans="1:6">
      <c r="A3642" s="9">
        <v>3639</v>
      </c>
      <c r="B3642" s="10" t="s">
        <v>3377</v>
      </c>
      <c r="C3642" s="10" t="s">
        <v>3378</v>
      </c>
      <c r="D3642" s="10" t="s">
        <v>3586</v>
      </c>
      <c r="E3642" s="10" t="str">
        <f>"644020240512141358169497"</f>
        <v>644020240512141358169497</v>
      </c>
      <c r="F3642" s="9"/>
    </row>
    <row r="3643" s="2" customFormat="1" ht="30" customHeight="1" spans="1:6">
      <c r="A3643" s="9">
        <v>3640</v>
      </c>
      <c r="B3643" s="10" t="s">
        <v>3377</v>
      </c>
      <c r="C3643" s="10" t="s">
        <v>3378</v>
      </c>
      <c r="D3643" s="10" t="s">
        <v>3587</v>
      </c>
      <c r="E3643" s="10" t="str">
        <f>"644020240515095210180921"</f>
        <v>644020240515095210180921</v>
      </c>
      <c r="F3643" s="9"/>
    </row>
    <row r="3644" s="2" customFormat="1" ht="30" customHeight="1" spans="1:6">
      <c r="A3644" s="9">
        <v>3641</v>
      </c>
      <c r="B3644" s="10" t="s">
        <v>3377</v>
      </c>
      <c r="C3644" s="10" t="s">
        <v>3378</v>
      </c>
      <c r="D3644" s="10" t="s">
        <v>3588</v>
      </c>
      <c r="E3644" s="10" t="str">
        <f>"644020240513215748177213"</f>
        <v>644020240513215748177213</v>
      </c>
      <c r="F3644" s="9"/>
    </row>
    <row r="3645" s="2" customFormat="1" ht="30" customHeight="1" spans="1:6">
      <c r="A3645" s="9">
        <v>3642</v>
      </c>
      <c r="B3645" s="10" t="s">
        <v>3377</v>
      </c>
      <c r="C3645" s="10" t="s">
        <v>3378</v>
      </c>
      <c r="D3645" s="10" t="s">
        <v>3589</v>
      </c>
      <c r="E3645" s="10" t="str">
        <f>"644020240515085033180737"</f>
        <v>644020240515085033180737</v>
      </c>
      <c r="F3645" s="9"/>
    </row>
    <row r="3646" s="2" customFormat="1" ht="30" customHeight="1" spans="1:6">
      <c r="A3646" s="9">
        <v>3643</v>
      </c>
      <c r="B3646" s="10" t="s">
        <v>3377</v>
      </c>
      <c r="C3646" s="10" t="s">
        <v>3378</v>
      </c>
      <c r="D3646" s="10" t="s">
        <v>3590</v>
      </c>
      <c r="E3646" s="10" t="str">
        <f>"644020240512142015169526"</f>
        <v>644020240512142015169526</v>
      </c>
      <c r="F3646" s="9"/>
    </row>
    <row r="3647" s="2" customFormat="1" ht="30" customHeight="1" spans="1:6">
      <c r="A3647" s="9">
        <v>3644</v>
      </c>
      <c r="B3647" s="10" t="s">
        <v>3377</v>
      </c>
      <c r="C3647" s="10" t="s">
        <v>3378</v>
      </c>
      <c r="D3647" s="10" t="s">
        <v>3591</v>
      </c>
      <c r="E3647" s="10" t="str">
        <f>"644020240515110003181149"</f>
        <v>644020240515110003181149</v>
      </c>
      <c r="F3647" s="9"/>
    </row>
    <row r="3648" s="2" customFormat="1" ht="30" customHeight="1" spans="1:6">
      <c r="A3648" s="9">
        <v>3645</v>
      </c>
      <c r="B3648" s="10" t="s">
        <v>3377</v>
      </c>
      <c r="C3648" s="10" t="s">
        <v>3378</v>
      </c>
      <c r="D3648" s="10" t="s">
        <v>3592</v>
      </c>
      <c r="E3648" s="10" t="str">
        <f>"644020240515093844180878"</f>
        <v>644020240515093844180878</v>
      </c>
      <c r="F3648" s="9"/>
    </row>
    <row r="3649" s="2" customFormat="1" ht="30" customHeight="1" spans="1:6">
      <c r="A3649" s="9">
        <v>3646</v>
      </c>
      <c r="B3649" s="10" t="s">
        <v>3377</v>
      </c>
      <c r="C3649" s="10" t="s">
        <v>3378</v>
      </c>
      <c r="D3649" s="10" t="s">
        <v>3593</v>
      </c>
      <c r="E3649" s="10" t="str">
        <f>"644020240515103806181078"</f>
        <v>644020240515103806181078</v>
      </c>
      <c r="F3649" s="9"/>
    </row>
    <row r="3650" s="2" customFormat="1" ht="30" customHeight="1" spans="1:6">
      <c r="A3650" s="9">
        <v>3647</v>
      </c>
      <c r="B3650" s="10" t="s">
        <v>3377</v>
      </c>
      <c r="C3650" s="10" t="s">
        <v>3378</v>
      </c>
      <c r="D3650" s="10" t="s">
        <v>3594</v>
      </c>
      <c r="E3650" s="10" t="str">
        <f>"644020240515114740181291"</f>
        <v>644020240515114740181291</v>
      </c>
      <c r="F3650" s="9"/>
    </row>
    <row r="3651" s="2" customFormat="1" ht="30" customHeight="1" spans="1:6">
      <c r="A3651" s="9">
        <v>3648</v>
      </c>
      <c r="B3651" s="10" t="s">
        <v>3377</v>
      </c>
      <c r="C3651" s="10" t="s">
        <v>3378</v>
      </c>
      <c r="D3651" s="10" t="s">
        <v>3595</v>
      </c>
      <c r="E3651" s="10" t="str">
        <f>"644020240515084254180723"</f>
        <v>644020240515084254180723</v>
      </c>
      <c r="F3651" s="9"/>
    </row>
    <row r="3652" s="2" customFormat="1" ht="30" customHeight="1" spans="1:6">
      <c r="A3652" s="9">
        <v>3649</v>
      </c>
      <c r="B3652" s="10" t="s">
        <v>3377</v>
      </c>
      <c r="C3652" s="10" t="s">
        <v>3378</v>
      </c>
      <c r="D3652" s="10" t="s">
        <v>3596</v>
      </c>
      <c r="E3652" s="10" t="str">
        <f>"644020240515115653181314"</f>
        <v>644020240515115653181314</v>
      </c>
      <c r="F3652" s="9"/>
    </row>
    <row r="3653" s="2" customFormat="1" ht="30" customHeight="1" spans="1:6">
      <c r="A3653" s="9">
        <v>3650</v>
      </c>
      <c r="B3653" s="10" t="s">
        <v>3377</v>
      </c>
      <c r="C3653" s="10" t="s">
        <v>3378</v>
      </c>
      <c r="D3653" s="10" t="s">
        <v>3597</v>
      </c>
      <c r="E3653" s="10" t="str">
        <f>"644020240515070737180643"</f>
        <v>644020240515070737180643</v>
      </c>
      <c r="F3653" s="9"/>
    </row>
    <row r="3654" s="2" customFormat="1" ht="30" customHeight="1" spans="1:6">
      <c r="A3654" s="9">
        <v>3651</v>
      </c>
      <c r="B3654" s="10" t="s">
        <v>3377</v>
      </c>
      <c r="C3654" s="10" t="s">
        <v>3378</v>
      </c>
      <c r="D3654" s="10" t="s">
        <v>3598</v>
      </c>
      <c r="E3654" s="10" t="str">
        <f>"644020240512230401171700"</f>
        <v>644020240512230401171700</v>
      </c>
      <c r="F3654" s="9"/>
    </row>
    <row r="3655" s="2" customFormat="1" ht="30" customHeight="1" spans="1:6">
      <c r="A3655" s="9">
        <v>3652</v>
      </c>
      <c r="B3655" s="10" t="s">
        <v>3377</v>
      </c>
      <c r="C3655" s="10" t="s">
        <v>3378</v>
      </c>
      <c r="D3655" s="10" t="s">
        <v>3599</v>
      </c>
      <c r="E3655" s="10" t="str">
        <f>"644020240515123408181377"</f>
        <v>644020240515123408181377</v>
      </c>
      <c r="F3655" s="9"/>
    </row>
    <row r="3656" s="2" customFormat="1" ht="30" customHeight="1" spans="1:6">
      <c r="A3656" s="9">
        <v>3653</v>
      </c>
      <c r="B3656" s="10" t="s">
        <v>3377</v>
      </c>
      <c r="C3656" s="10" t="s">
        <v>3378</v>
      </c>
      <c r="D3656" s="10" t="s">
        <v>3600</v>
      </c>
      <c r="E3656" s="10" t="str">
        <f>"644020240514152106179268"</f>
        <v>644020240514152106179268</v>
      </c>
      <c r="F3656" s="9"/>
    </row>
    <row r="3657" s="2" customFormat="1" ht="30" customHeight="1" spans="1:6">
      <c r="A3657" s="9">
        <v>3654</v>
      </c>
      <c r="B3657" s="10" t="s">
        <v>3377</v>
      </c>
      <c r="C3657" s="10" t="s">
        <v>3378</v>
      </c>
      <c r="D3657" s="10" t="s">
        <v>3601</v>
      </c>
      <c r="E3657" s="10" t="str">
        <f>"644020240515132328181458"</f>
        <v>644020240515132328181458</v>
      </c>
      <c r="F3657" s="9"/>
    </row>
    <row r="3658" s="2" customFormat="1" ht="30" customHeight="1" spans="1:6">
      <c r="A3658" s="9">
        <v>3655</v>
      </c>
      <c r="B3658" s="10" t="s">
        <v>3377</v>
      </c>
      <c r="C3658" s="10" t="s">
        <v>3378</v>
      </c>
      <c r="D3658" s="10" t="s">
        <v>3602</v>
      </c>
      <c r="E3658" s="10" t="str">
        <f>"644020240513145613175151"</f>
        <v>644020240513145613175151</v>
      </c>
      <c r="F3658" s="9"/>
    </row>
    <row r="3659" s="2" customFormat="1" ht="30" customHeight="1" spans="1:6">
      <c r="A3659" s="9">
        <v>3656</v>
      </c>
      <c r="B3659" s="10" t="s">
        <v>3377</v>
      </c>
      <c r="C3659" s="10" t="s">
        <v>3378</v>
      </c>
      <c r="D3659" s="10" t="s">
        <v>3603</v>
      </c>
      <c r="E3659" s="10" t="str">
        <f>"644020240512172420170191"</f>
        <v>644020240512172420170191</v>
      </c>
      <c r="F3659" s="9"/>
    </row>
    <row r="3660" s="2" customFormat="1" ht="30" customHeight="1" spans="1:6">
      <c r="A3660" s="9">
        <v>3657</v>
      </c>
      <c r="B3660" s="10" t="s">
        <v>3377</v>
      </c>
      <c r="C3660" s="10" t="s">
        <v>3378</v>
      </c>
      <c r="D3660" s="10" t="s">
        <v>3604</v>
      </c>
      <c r="E3660" s="10" t="str">
        <f>"644020240515140102181516"</f>
        <v>644020240515140102181516</v>
      </c>
      <c r="F3660" s="9"/>
    </row>
    <row r="3661" s="2" customFormat="1" ht="30" customHeight="1" spans="1:6">
      <c r="A3661" s="9">
        <v>3658</v>
      </c>
      <c r="B3661" s="10" t="s">
        <v>3377</v>
      </c>
      <c r="C3661" s="10" t="s">
        <v>3378</v>
      </c>
      <c r="D3661" s="10" t="s">
        <v>286</v>
      </c>
      <c r="E3661" s="10" t="str">
        <f>"644020240513133927174705"</f>
        <v>644020240513133927174705</v>
      </c>
      <c r="F3661" s="9"/>
    </row>
    <row r="3662" s="2" customFormat="1" ht="30" customHeight="1" spans="1:6">
      <c r="A3662" s="9">
        <v>3659</v>
      </c>
      <c r="B3662" s="10" t="s">
        <v>3377</v>
      </c>
      <c r="C3662" s="10" t="s">
        <v>3378</v>
      </c>
      <c r="D3662" s="10" t="s">
        <v>3605</v>
      </c>
      <c r="E3662" s="10" t="str">
        <f>"644020240515110124181152"</f>
        <v>644020240515110124181152</v>
      </c>
      <c r="F3662" s="9"/>
    </row>
    <row r="3663" s="2" customFormat="1" ht="30" customHeight="1" spans="1:6">
      <c r="A3663" s="9">
        <v>3660</v>
      </c>
      <c r="B3663" s="10" t="s">
        <v>3377</v>
      </c>
      <c r="C3663" s="10" t="s">
        <v>3378</v>
      </c>
      <c r="D3663" s="10" t="s">
        <v>3606</v>
      </c>
      <c r="E3663" s="10" t="str">
        <f>"644020240513163601175970"</f>
        <v>644020240513163601175970</v>
      </c>
      <c r="F3663" s="9"/>
    </row>
    <row r="3664" s="2" customFormat="1" ht="30" customHeight="1" spans="1:6">
      <c r="A3664" s="9">
        <v>3661</v>
      </c>
      <c r="B3664" s="10" t="s">
        <v>3377</v>
      </c>
      <c r="C3664" s="10" t="s">
        <v>3378</v>
      </c>
      <c r="D3664" s="10" t="s">
        <v>3607</v>
      </c>
      <c r="E3664" s="10" t="str">
        <f>"644020240515101344180983"</f>
        <v>644020240515101344180983</v>
      </c>
      <c r="F3664" s="9"/>
    </row>
    <row r="3665" s="2" customFormat="1" ht="30" customHeight="1" spans="1:6">
      <c r="A3665" s="9">
        <v>3662</v>
      </c>
      <c r="B3665" s="10" t="s">
        <v>3377</v>
      </c>
      <c r="C3665" s="10" t="s">
        <v>3378</v>
      </c>
      <c r="D3665" s="10" t="s">
        <v>3608</v>
      </c>
      <c r="E3665" s="10" t="str">
        <f>"644020240515145045181600"</f>
        <v>644020240515145045181600</v>
      </c>
      <c r="F3665" s="9"/>
    </row>
    <row r="3666" s="2" customFormat="1" ht="30" customHeight="1" spans="1:6">
      <c r="A3666" s="9">
        <v>3663</v>
      </c>
      <c r="B3666" s="10" t="s">
        <v>3377</v>
      </c>
      <c r="C3666" s="10" t="s">
        <v>3378</v>
      </c>
      <c r="D3666" s="10" t="s">
        <v>3609</v>
      </c>
      <c r="E3666" s="10" t="str">
        <f>"644020240515153134181702"</f>
        <v>644020240515153134181702</v>
      </c>
      <c r="F3666" s="9"/>
    </row>
    <row r="3667" s="2" customFormat="1" ht="30" customHeight="1" spans="1:6">
      <c r="A3667" s="9">
        <v>3664</v>
      </c>
      <c r="B3667" s="10" t="s">
        <v>3377</v>
      </c>
      <c r="C3667" s="10" t="s">
        <v>3378</v>
      </c>
      <c r="D3667" s="10" t="s">
        <v>3610</v>
      </c>
      <c r="E3667" s="10" t="str">
        <f>"644020240515152426181681"</f>
        <v>644020240515152426181681</v>
      </c>
      <c r="F3667" s="9"/>
    </row>
    <row r="3668" s="2" customFormat="1" ht="30" customHeight="1" spans="1:6">
      <c r="A3668" s="9">
        <v>3665</v>
      </c>
      <c r="B3668" s="10" t="s">
        <v>3377</v>
      </c>
      <c r="C3668" s="10" t="s">
        <v>3378</v>
      </c>
      <c r="D3668" s="10" t="s">
        <v>3611</v>
      </c>
      <c r="E3668" s="10" t="str">
        <f>"644020240515155447181765"</f>
        <v>644020240515155447181765</v>
      </c>
      <c r="F3668" s="9"/>
    </row>
    <row r="3669" s="2" customFormat="1" ht="30" customHeight="1" spans="1:6">
      <c r="A3669" s="9">
        <v>3666</v>
      </c>
      <c r="B3669" s="10" t="s">
        <v>3377</v>
      </c>
      <c r="C3669" s="10" t="s">
        <v>3378</v>
      </c>
      <c r="D3669" s="10" t="s">
        <v>3612</v>
      </c>
      <c r="E3669" s="10" t="str">
        <f>"644020240515162017181828"</f>
        <v>644020240515162017181828</v>
      </c>
      <c r="F3669" s="9"/>
    </row>
    <row r="3670" s="2" customFormat="1" ht="30" customHeight="1" spans="1:6">
      <c r="A3670" s="9">
        <v>3667</v>
      </c>
      <c r="B3670" s="10" t="s">
        <v>3377</v>
      </c>
      <c r="C3670" s="10" t="s">
        <v>3378</v>
      </c>
      <c r="D3670" s="10" t="s">
        <v>3613</v>
      </c>
      <c r="E3670" s="10" t="str">
        <f>"644020240515163741181880"</f>
        <v>644020240515163741181880</v>
      </c>
      <c r="F3670" s="9"/>
    </row>
    <row r="3671" s="2" customFormat="1" ht="30" customHeight="1" spans="1:6">
      <c r="A3671" s="9">
        <v>3668</v>
      </c>
      <c r="B3671" s="10" t="s">
        <v>3377</v>
      </c>
      <c r="C3671" s="10" t="s">
        <v>3378</v>
      </c>
      <c r="D3671" s="10" t="s">
        <v>3614</v>
      </c>
      <c r="E3671" s="10" t="str">
        <f>"644020240515153423181707"</f>
        <v>644020240515153423181707</v>
      </c>
      <c r="F3671" s="9"/>
    </row>
    <row r="3672" s="2" customFormat="1" ht="30" customHeight="1" spans="1:6">
      <c r="A3672" s="9">
        <v>3669</v>
      </c>
      <c r="B3672" s="10" t="s">
        <v>3377</v>
      </c>
      <c r="C3672" s="10" t="s">
        <v>3378</v>
      </c>
      <c r="D3672" s="10" t="s">
        <v>3615</v>
      </c>
      <c r="E3672" s="10" t="str">
        <f>"644020240515165508181942"</f>
        <v>644020240515165508181942</v>
      </c>
      <c r="F3672" s="9"/>
    </row>
    <row r="3673" s="2" customFormat="1" ht="30" customHeight="1" spans="1:6">
      <c r="A3673" s="9">
        <v>3670</v>
      </c>
      <c r="B3673" s="10" t="s">
        <v>3377</v>
      </c>
      <c r="C3673" s="10" t="s">
        <v>3378</v>
      </c>
      <c r="D3673" s="10" t="s">
        <v>3616</v>
      </c>
      <c r="E3673" s="10" t="str">
        <f>"644020240514155239179374"</f>
        <v>644020240514155239179374</v>
      </c>
      <c r="F3673" s="9"/>
    </row>
    <row r="3674" s="2" customFormat="1" ht="30" customHeight="1" spans="1:6">
      <c r="A3674" s="9">
        <v>3671</v>
      </c>
      <c r="B3674" s="10" t="s">
        <v>3377</v>
      </c>
      <c r="C3674" s="10" t="s">
        <v>3378</v>
      </c>
      <c r="D3674" s="10" t="s">
        <v>3617</v>
      </c>
      <c r="E3674" s="10" t="str">
        <f>"644020240512150409169662"</f>
        <v>644020240512150409169662</v>
      </c>
      <c r="F3674" s="9"/>
    </row>
    <row r="3675" s="2" customFormat="1" ht="30" customHeight="1" spans="1:6">
      <c r="A3675" s="9">
        <v>3672</v>
      </c>
      <c r="B3675" s="10" t="s">
        <v>3377</v>
      </c>
      <c r="C3675" s="10" t="s">
        <v>3378</v>
      </c>
      <c r="D3675" s="10" t="s">
        <v>3618</v>
      </c>
      <c r="E3675" s="10" t="str">
        <f>"644020240512175815170305"</f>
        <v>644020240512175815170305</v>
      </c>
      <c r="F3675" s="9"/>
    </row>
    <row r="3676" s="2" customFormat="1" ht="30" customHeight="1" spans="1:6">
      <c r="A3676" s="9">
        <v>3673</v>
      </c>
      <c r="B3676" s="10" t="s">
        <v>3377</v>
      </c>
      <c r="C3676" s="10" t="s">
        <v>3378</v>
      </c>
      <c r="D3676" s="10" t="s">
        <v>3619</v>
      </c>
      <c r="E3676" s="10" t="str">
        <f>"644020240515164233181903"</f>
        <v>644020240515164233181903</v>
      </c>
      <c r="F3676" s="9"/>
    </row>
    <row r="3677" s="2" customFormat="1" ht="30" customHeight="1" spans="1:6">
      <c r="A3677" s="9">
        <v>3674</v>
      </c>
      <c r="B3677" s="10" t="s">
        <v>3377</v>
      </c>
      <c r="C3677" s="10" t="s">
        <v>3378</v>
      </c>
      <c r="D3677" s="10" t="s">
        <v>3620</v>
      </c>
      <c r="E3677" s="10" t="str">
        <f>"644020240514141524179103"</f>
        <v>644020240514141524179103</v>
      </c>
      <c r="F3677" s="9"/>
    </row>
    <row r="3678" s="2" customFormat="1" ht="30" customHeight="1" spans="1:6">
      <c r="A3678" s="9">
        <v>3675</v>
      </c>
      <c r="B3678" s="10" t="s">
        <v>3377</v>
      </c>
      <c r="C3678" s="10" t="s">
        <v>3378</v>
      </c>
      <c r="D3678" s="10" t="s">
        <v>3621</v>
      </c>
      <c r="E3678" s="10" t="str">
        <f>"644020240515130319181422"</f>
        <v>644020240515130319181422</v>
      </c>
      <c r="F3678" s="9"/>
    </row>
    <row r="3679" s="2" customFormat="1" ht="30" customHeight="1" spans="1:6">
      <c r="A3679" s="9">
        <v>3676</v>
      </c>
      <c r="B3679" s="10" t="s">
        <v>3377</v>
      </c>
      <c r="C3679" s="10" t="s">
        <v>3378</v>
      </c>
      <c r="D3679" s="10" t="s">
        <v>3622</v>
      </c>
      <c r="E3679" s="10" t="str">
        <f>"644020240515094714180903"</f>
        <v>644020240515094714180903</v>
      </c>
      <c r="F3679" s="9"/>
    </row>
    <row r="3680" s="2" customFormat="1" ht="30" customHeight="1" spans="1:6">
      <c r="A3680" s="9">
        <v>3677</v>
      </c>
      <c r="B3680" s="10" t="s">
        <v>3377</v>
      </c>
      <c r="C3680" s="10" t="s">
        <v>3378</v>
      </c>
      <c r="D3680" s="10" t="s">
        <v>3623</v>
      </c>
      <c r="E3680" s="10" t="str">
        <f>"644020240515132600181460"</f>
        <v>644020240515132600181460</v>
      </c>
      <c r="F3680" s="9"/>
    </row>
    <row r="3681" s="2" customFormat="1" ht="30" customHeight="1" spans="1:6">
      <c r="A3681" s="9">
        <v>3678</v>
      </c>
      <c r="B3681" s="10" t="s">
        <v>3377</v>
      </c>
      <c r="C3681" s="10" t="s">
        <v>3378</v>
      </c>
      <c r="D3681" s="10" t="s">
        <v>3624</v>
      </c>
      <c r="E3681" s="10" t="str">
        <f>"644020240512201532170777"</f>
        <v>644020240512201532170777</v>
      </c>
      <c r="F3681" s="9"/>
    </row>
    <row r="3682" s="2" customFormat="1" ht="30" customHeight="1" spans="1:6">
      <c r="A3682" s="9">
        <v>3679</v>
      </c>
      <c r="B3682" s="10" t="s">
        <v>3377</v>
      </c>
      <c r="C3682" s="10" t="s">
        <v>3378</v>
      </c>
      <c r="D3682" s="10" t="s">
        <v>3625</v>
      </c>
      <c r="E3682" s="10" t="str">
        <f>"644020240514174130179735"</f>
        <v>644020240514174130179735</v>
      </c>
      <c r="F3682" s="9"/>
    </row>
    <row r="3683" s="2" customFormat="1" ht="30" customHeight="1" spans="1:6">
      <c r="A3683" s="9">
        <v>3680</v>
      </c>
      <c r="B3683" s="10" t="s">
        <v>3377</v>
      </c>
      <c r="C3683" s="10" t="s">
        <v>3378</v>
      </c>
      <c r="D3683" s="10" t="s">
        <v>3626</v>
      </c>
      <c r="E3683" s="10" t="str">
        <f>"644020240515164132181900"</f>
        <v>644020240515164132181900</v>
      </c>
      <c r="F3683" s="9"/>
    </row>
    <row r="3684" s="2" customFormat="1" ht="30" customHeight="1" spans="1:6">
      <c r="A3684" s="9">
        <v>3681</v>
      </c>
      <c r="B3684" s="10" t="s">
        <v>3377</v>
      </c>
      <c r="C3684" s="10" t="s">
        <v>3378</v>
      </c>
      <c r="D3684" s="10" t="s">
        <v>3627</v>
      </c>
      <c r="E3684" s="10" t="str">
        <f>"644020240514175534179765"</f>
        <v>644020240514175534179765</v>
      </c>
      <c r="F3684" s="9"/>
    </row>
    <row r="3685" s="2" customFormat="1" ht="30" customHeight="1" spans="1:6">
      <c r="A3685" s="9">
        <v>3682</v>
      </c>
      <c r="B3685" s="10" t="s">
        <v>3377</v>
      </c>
      <c r="C3685" s="10" t="s">
        <v>3378</v>
      </c>
      <c r="D3685" s="10" t="s">
        <v>3628</v>
      </c>
      <c r="E3685" s="10" t="str">
        <f>"644020240513234112177604"</f>
        <v>644020240513234112177604</v>
      </c>
      <c r="F3685" s="9"/>
    </row>
    <row r="3686" s="2" customFormat="1" ht="30" customHeight="1" spans="1:6">
      <c r="A3686" s="9">
        <v>3683</v>
      </c>
      <c r="B3686" s="10" t="s">
        <v>3377</v>
      </c>
      <c r="C3686" s="10" t="s">
        <v>3378</v>
      </c>
      <c r="D3686" s="10" t="s">
        <v>3629</v>
      </c>
      <c r="E3686" s="10" t="str">
        <f>"644020240515184425182115"</f>
        <v>644020240515184425182115</v>
      </c>
      <c r="F3686" s="9"/>
    </row>
    <row r="3687" s="2" customFormat="1" ht="30" customHeight="1" spans="1:6">
      <c r="A3687" s="9">
        <v>3684</v>
      </c>
      <c r="B3687" s="10" t="s">
        <v>3377</v>
      </c>
      <c r="C3687" s="10" t="s">
        <v>3378</v>
      </c>
      <c r="D3687" s="10" t="s">
        <v>3630</v>
      </c>
      <c r="E3687" s="10" t="str">
        <f>"644020240515180153182060"</f>
        <v>644020240515180153182060</v>
      </c>
      <c r="F3687" s="9"/>
    </row>
    <row r="3688" s="2" customFormat="1" ht="30" customHeight="1" spans="1:6">
      <c r="A3688" s="9">
        <v>3685</v>
      </c>
      <c r="B3688" s="10" t="s">
        <v>3377</v>
      </c>
      <c r="C3688" s="10" t="s">
        <v>3378</v>
      </c>
      <c r="D3688" s="10" t="s">
        <v>3631</v>
      </c>
      <c r="E3688" s="10" t="str">
        <f>"644020240514160239179407"</f>
        <v>644020240514160239179407</v>
      </c>
      <c r="F3688" s="9"/>
    </row>
    <row r="3689" s="2" customFormat="1" ht="30" customHeight="1" spans="1:6">
      <c r="A3689" s="9">
        <v>3686</v>
      </c>
      <c r="B3689" s="10" t="s">
        <v>3377</v>
      </c>
      <c r="C3689" s="10" t="s">
        <v>3378</v>
      </c>
      <c r="D3689" s="10" t="s">
        <v>3632</v>
      </c>
      <c r="E3689" s="10" t="str">
        <f>"644020240514213002180207"</f>
        <v>644020240514213002180207</v>
      </c>
      <c r="F3689" s="9"/>
    </row>
    <row r="3690" s="2" customFormat="1" ht="30" customHeight="1" spans="1:6">
      <c r="A3690" s="9">
        <v>3687</v>
      </c>
      <c r="B3690" s="10" t="s">
        <v>3377</v>
      </c>
      <c r="C3690" s="10" t="s">
        <v>3378</v>
      </c>
      <c r="D3690" s="10" t="s">
        <v>3633</v>
      </c>
      <c r="E3690" s="10" t="str">
        <f>"644020240515153003181695"</f>
        <v>644020240515153003181695</v>
      </c>
      <c r="F3690" s="9"/>
    </row>
    <row r="3691" s="2" customFormat="1" ht="30" customHeight="1" spans="1:6">
      <c r="A3691" s="9">
        <v>3688</v>
      </c>
      <c r="B3691" s="10" t="s">
        <v>3377</v>
      </c>
      <c r="C3691" s="10" t="s">
        <v>3378</v>
      </c>
      <c r="D3691" s="10" t="s">
        <v>3634</v>
      </c>
      <c r="E3691" s="10" t="str">
        <f>"644020240515185838182133"</f>
        <v>644020240515185838182133</v>
      </c>
      <c r="F3691" s="9"/>
    </row>
    <row r="3692" s="2" customFormat="1" ht="30" customHeight="1" spans="1:6">
      <c r="A3692" s="9">
        <v>3689</v>
      </c>
      <c r="B3692" s="10" t="s">
        <v>3377</v>
      </c>
      <c r="C3692" s="10" t="s">
        <v>3378</v>
      </c>
      <c r="D3692" s="10" t="s">
        <v>3635</v>
      </c>
      <c r="E3692" s="10" t="str">
        <f>"644020240515130515181425"</f>
        <v>644020240515130515181425</v>
      </c>
      <c r="F3692" s="9"/>
    </row>
    <row r="3693" s="2" customFormat="1" ht="30" customHeight="1" spans="1:6">
      <c r="A3693" s="9">
        <v>3690</v>
      </c>
      <c r="B3693" s="10" t="s">
        <v>3377</v>
      </c>
      <c r="C3693" s="10" t="s">
        <v>3378</v>
      </c>
      <c r="D3693" s="10" t="s">
        <v>3636</v>
      </c>
      <c r="E3693" s="10" t="str">
        <f>"644020240515191504182150"</f>
        <v>644020240515191504182150</v>
      </c>
      <c r="F3693" s="9"/>
    </row>
    <row r="3694" s="2" customFormat="1" ht="30" customHeight="1" spans="1:6">
      <c r="A3694" s="9">
        <v>3691</v>
      </c>
      <c r="B3694" s="10" t="s">
        <v>3377</v>
      </c>
      <c r="C3694" s="10" t="s">
        <v>3378</v>
      </c>
      <c r="D3694" s="10" t="s">
        <v>3637</v>
      </c>
      <c r="E3694" s="10" t="str">
        <f>"644020240515123359181376"</f>
        <v>644020240515123359181376</v>
      </c>
      <c r="F3694" s="9"/>
    </row>
    <row r="3695" s="2" customFormat="1" ht="30" customHeight="1" spans="1:6">
      <c r="A3695" s="9">
        <v>3692</v>
      </c>
      <c r="B3695" s="10" t="s">
        <v>3377</v>
      </c>
      <c r="C3695" s="10" t="s">
        <v>3378</v>
      </c>
      <c r="D3695" s="10" t="s">
        <v>3638</v>
      </c>
      <c r="E3695" s="10" t="str">
        <f>"644020240515194227182190"</f>
        <v>644020240515194227182190</v>
      </c>
      <c r="F3695" s="9"/>
    </row>
    <row r="3696" s="2" customFormat="1" ht="30" customHeight="1" spans="1:6">
      <c r="A3696" s="9">
        <v>3693</v>
      </c>
      <c r="B3696" s="10" t="s">
        <v>3377</v>
      </c>
      <c r="C3696" s="10" t="s">
        <v>3378</v>
      </c>
      <c r="D3696" s="10" t="s">
        <v>3639</v>
      </c>
      <c r="E3696" s="10" t="str">
        <f>"644020240514235003180556"</f>
        <v>644020240514235003180556</v>
      </c>
      <c r="F3696" s="9"/>
    </row>
    <row r="3697" s="2" customFormat="1" ht="30" customHeight="1" spans="1:6">
      <c r="A3697" s="9">
        <v>3694</v>
      </c>
      <c r="B3697" s="10" t="s">
        <v>3377</v>
      </c>
      <c r="C3697" s="10" t="s">
        <v>3378</v>
      </c>
      <c r="D3697" s="10" t="s">
        <v>3640</v>
      </c>
      <c r="E3697" s="10" t="str">
        <f>"644020240515193248182178"</f>
        <v>644020240515193248182178</v>
      </c>
      <c r="F3697" s="9"/>
    </row>
    <row r="3698" s="2" customFormat="1" ht="30" customHeight="1" spans="1:6">
      <c r="A3698" s="9">
        <v>3695</v>
      </c>
      <c r="B3698" s="10" t="s">
        <v>3377</v>
      </c>
      <c r="C3698" s="10" t="s">
        <v>3378</v>
      </c>
      <c r="D3698" s="10" t="s">
        <v>3641</v>
      </c>
      <c r="E3698" s="10" t="str">
        <f>"644020240515194814182197"</f>
        <v>644020240515194814182197</v>
      </c>
      <c r="F3698" s="9"/>
    </row>
    <row r="3699" s="2" customFormat="1" ht="30" customHeight="1" spans="1:6">
      <c r="A3699" s="9">
        <v>3696</v>
      </c>
      <c r="B3699" s="10" t="s">
        <v>3377</v>
      </c>
      <c r="C3699" s="10" t="s">
        <v>3378</v>
      </c>
      <c r="D3699" s="10" t="s">
        <v>3642</v>
      </c>
      <c r="E3699" s="10" t="str">
        <f>"644020240513090311172525"</f>
        <v>644020240513090311172525</v>
      </c>
      <c r="F3699" s="9"/>
    </row>
    <row r="3700" s="2" customFormat="1" ht="30" customHeight="1" spans="1:6">
      <c r="A3700" s="9">
        <v>3697</v>
      </c>
      <c r="B3700" s="10" t="s">
        <v>3377</v>
      </c>
      <c r="C3700" s="10" t="s">
        <v>3378</v>
      </c>
      <c r="D3700" s="10" t="s">
        <v>3643</v>
      </c>
      <c r="E3700" s="10" t="str">
        <f>"644020240512102935168562"</f>
        <v>644020240512102935168562</v>
      </c>
      <c r="F3700" s="9"/>
    </row>
    <row r="3701" s="2" customFormat="1" ht="30" customHeight="1" spans="1:6">
      <c r="A3701" s="9">
        <v>3698</v>
      </c>
      <c r="B3701" s="10" t="s">
        <v>3377</v>
      </c>
      <c r="C3701" s="10" t="s">
        <v>3378</v>
      </c>
      <c r="D3701" s="10" t="s">
        <v>3644</v>
      </c>
      <c r="E3701" s="10" t="str">
        <f>"644020240513222840177354"</f>
        <v>644020240513222840177354</v>
      </c>
      <c r="F3701" s="9"/>
    </row>
    <row r="3702" s="2" customFormat="1" ht="30" customHeight="1" spans="1:6">
      <c r="A3702" s="9">
        <v>3699</v>
      </c>
      <c r="B3702" s="10" t="s">
        <v>3377</v>
      </c>
      <c r="C3702" s="10" t="s">
        <v>3378</v>
      </c>
      <c r="D3702" s="10" t="s">
        <v>3645</v>
      </c>
      <c r="E3702" s="10" t="str">
        <f>"644020240513140918174835"</f>
        <v>644020240513140918174835</v>
      </c>
      <c r="F3702" s="9"/>
    </row>
    <row r="3703" s="2" customFormat="1" ht="30" customHeight="1" spans="1:6">
      <c r="A3703" s="9">
        <v>3700</v>
      </c>
      <c r="B3703" s="10" t="s">
        <v>3377</v>
      </c>
      <c r="C3703" s="10" t="s">
        <v>3378</v>
      </c>
      <c r="D3703" s="10" t="s">
        <v>3646</v>
      </c>
      <c r="E3703" s="10" t="str">
        <f>"644020240514160129179403"</f>
        <v>644020240514160129179403</v>
      </c>
      <c r="F3703" s="9"/>
    </row>
    <row r="3704" s="2" customFormat="1" ht="30" customHeight="1" spans="1:6">
      <c r="A3704" s="9">
        <v>3701</v>
      </c>
      <c r="B3704" s="10" t="s">
        <v>3377</v>
      </c>
      <c r="C3704" s="10" t="s">
        <v>3378</v>
      </c>
      <c r="D3704" s="10" t="s">
        <v>3647</v>
      </c>
      <c r="E3704" s="10" t="str">
        <f>"644020240515172914182008"</f>
        <v>644020240515172914182008</v>
      </c>
      <c r="F3704" s="9"/>
    </row>
    <row r="3705" s="2" customFormat="1" ht="30" customHeight="1" spans="1:6">
      <c r="A3705" s="9">
        <v>3702</v>
      </c>
      <c r="B3705" s="10" t="s">
        <v>3377</v>
      </c>
      <c r="C3705" s="10" t="s">
        <v>3378</v>
      </c>
      <c r="D3705" s="10" t="s">
        <v>3648</v>
      </c>
      <c r="E3705" s="10" t="str">
        <f>"644020240515220209182326"</f>
        <v>644020240515220209182326</v>
      </c>
      <c r="F3705" s="9"/>
    </row>
    <row r="3706" s="2" customFormat="1" ht="30" customHeight="1" spans="1:6">
      <c r="A3706" s="9">
        <v>3703</v>
      </c>
      <c r="B3706" s="10" t="s">
        <v>3377</v>
      </c>
      <c r="C3706" s="10" t="s">
        <v>3378</v>
      </c>
      <c r="D3706" s="10" t="s">
        <v>3649</v>
      </c>
      <c r="E3706" s="10" t="str">
        <f>"644020240515222336182406"</f>
        <v>644020240515222336182406</v>
      </c>
      <c r="F3706" s="9"/>
    </row>
    <row r="3707" s="2" customFormat="1" ht="30" customHeight="1" spans="1:6">
      <c r="A3707" s="9">
        <v>3704</v>
      </c>
      <c r="B3707" s="10" t="s">
        <v>3377</v>
      </c>
      <c r="C3707" s="10" t="s">
        <v>3378</v>
      </c>
      <c r="D3707" s="10" t="s">
        <v>3650</v>
      </c>
      <c r="E3707" s="10" t="str">
        <f>"644020240515220532182350"</f>
        <v>644020240515220532182350</v>
      </c>
      <c r="F3707" s="9"/>
    </row>
    <row r="3708" s="2" customFormat="1" ht="30" customHeight="1" spans="1:6">
      <c r="A3708" s="9">
        <v>3705</v>
      </c>
      <c r="B3708" s="10" t="s">
        <v>3377</v>
      </c>
      <c r="C3708" s="10" t="s">
        <v>3378</v>
      </c>
      <c r="D3708" s="10" t="s">
        <v>3651</v>
      </c>
      <c r="E3708" s="10" t="str">
        <f>"644020240515225347182488"</f>
        <v>644020240515225347182488</v>
      </c>
      <c r="F3708" s="9"/>
    </row>
    <row r="3709" s="2" customFormat="1" ht="30" customHeight="1" spans="1:6">
      <c r="A3709" s="9">
        <v>3706</v>
      </c>
      <c r="B3709" s="10" t="s">
        <v>3377</v>
      </c>
      <c r="C3709" s="10" t="s">
        <v>3378</v>
      </c>
      <c r="D3709" s="10" t="s">
        <v>3652</v>
      </c>
      <c r="E3709" s="10" t="str">
        <f>"644020240515190506182141"</f>
        <v>644020240515190506182141</v>
      </c>
      <c r="F3709" s="9"/>
    </row>
    <row r="3710" s="2" customFormat="1" ht="30" customHeight="1" spans="1:6">
      <c r="A3710" s="9">
        <v>3707</v>
      </c>
      <c r="B3710" s="10" t="s">
        <v>3377</v>
      </c>
      <c r="C3710" s="10" t="s">
        <v>3378</v>
      </c>
      <c r="D3710" s="10" t="s">
        <v>1786</v>
      </c>
      <c r="E3710" s="10" t="str">
        <f>"644020240516000550182634"</f>
        <v>644020240516000550182634</v>
      </c>
      <c r="F3710" s="9"/>
    </row>
    <row r="3711" s="2" customFormat="1" ht="30" customHeight="1" spans="1:6">
      <c r="A3711" s="9">
        <v>3708</v>
      </c>
      <c r="B3711" s="10" t="s">
        <v>3377</v>
      </c>
      <c r="C3711" s="10" t="s">
        <v>3378</v>
      </c>
      <c r="D3711" s="10" t="s">
        <v>3653</v>
      </c>
      <c r="E3711" s="10" t="str">
        <f>"644020240512154600169824"</f>
        <v>644020240512154600169824</v>
      </c>
      <c r="F3711" s="9"/>
    </row>
    <row r="3712" s="2" customFormat="1" ht="30" customHeight="1" spans="1:6">
      <c r="A3712" s="9">
        <v>3709</v>
      </c>
      <c r="B3712" s="10" t="s">
        <v>3377</v>
      </c>
      <c r="C3712" s="10" t="s">
        <v>3378</v>
      </c>
      <c r="D3712" s="10" t="s">
        <v>3654</v>
      </c>
      <c r="E3712" s="10" t="str">
        <f>"644020240513220158177229"</f>
        <v>644020240513220158177229</v>
      </c>
      <c r="F3712" s="9"/>
    </row>
    <row r="3713" s="2" customFormat="1" ht="30" customHeight="1" spans="1:6">
      <c r="A3713" s="9">
        <v>3710</v>
      </c>
      <c r="B3713" s="10" t="s">
        <v>3377</v>
      </c>
      <c r="C3713" s="10" t="s">
        <v>3378</v>
      </c>
      <c r="D3713" s="10" t="s">
        <v>3655</v>
      </c>
      <c r="E3713" s="10" t="str">
        <f>"644020240514100803178305"</f>
        <v>644020240514100803178305</v>
      </c>
      <c r="F3713" s="9"/>
    </row>
    <row r="3714" s="2" customFormat="1" ht="30" customHeight="1" spans="1:6">
      <c r="A3714" s="9">
        <v>3711</v>
      </c>
      <c r="B3714" s="10" t="s">
        <v>3377</v>
      </c>
      <c r="C3714" s="10" t="s">
        <v>3378</v>
      </c>
      <c r="D3714" s="10" t="s">
        <v>3656</v>
      </c>
      <c r="E3714" s="10" t="str">
        <f>"644020240515092826180850"</f>
        <v>644020240515092826180850</v>
      </c>
      <c r="F3714" s="9"/>
    </row>
    <row r="3715" s="2" customFormat="1" ht="30" customHeight="1" spans="1:6">
      <c r="A3715" s="9">
        <v>3712</v>
      </c>
      <c r="B3715" s="10" t="s">
        <v>3377</v>
      </c>
      <c r="C3715" s="10" t="s">
        <v>3378</v>
      </c>
      <c r="D3715" s="10" t="s">
        <v>3657</v>
      </c>
      <c r="E3715" s="10" t="str">
        <f>"644020240513090220172511"</f>
        <v>644020240513090220172511</v>
      </c>
      <c r="F3715" s="9"/>
    </row>
    <row r="3716" s="2" customFormat="1" ht="30" customHeight="1" spans="1:6">
      <c r="A3716" s="9">
        <v>3713</v>
      </c>
      <c r="B3716" s="10" t="s">
        <v>3377</v>
      </c>
      <c r="C3716" s="10" t="s">
        <v>3378</v>
      </c>
      <c r="D3716" s="10" t="s">
        <v>3658</v>
      </c>
      <c r="E3716" s="10" t="str">
        <f>"644020240513081427172227"</f>
        <v>644020240513081427172227</v>
      </c>
      <c r="F3716" s="9"/>
    </row>
    <row r="3717" s="2" customFormat="1" ht="30" customHeight="1" spans="1:6">
      <c r="A3717" s="9">
        <v>3714</v>
      </c>
      <c r="B3717" s="10" t="s">
        <v>3377</v>
      </c>
      <c r="C3717" s="10" t="s">
        <v>3378</v>
      </c>
      <c r="D3717" s="10" t="s">
        <v>3659</v>
      </c>
      <c r="E3717" s="10" t="str">
        <f>"644020240516082925182772"</f>
        <v>644020240516082925182772</v>
      </c>
      <c r="F3717" s="9"/>
    </row>
    <row r="3718" s="2" customFormat="1" ht="30" customHeight="1" spans="1:6">
      <c r="A3718" s="9">
        <v>3715</v>
      </c>
      <c r="B3718" s="10" t="s">
        <v>3377</v>
      </c>
      <c r="C3718" s="10" t="s">
        <v>3378</v>
      </c>
      <c r="D3718" s="10" t="s">
        <v>3660</v>
      </c>
      <c r="E3718" s="10" t="str">
        <f>"644020240515164421181912"</f>
        <v>644020240515164421181912</v>
      </c>
      <c r="F3718" s="9"/>
    </row>
    <row r="3719" s="2" customFormat="1" ht="30" customHeight="1" spans="1:6">
      <c r="A3719" s="9">
        <v>3716</v>
      </c>
      <c r="B3719" s="10" t="s">
        <v>3377</v>
      </c>
      <c r="C3719" s="10" t="s">
        <v>3378</v>
      </c>
      <c r="D3719" s="10" t="s">
        <v>3661</v>
      </c>
      <c r="E3719" s="10" t="str">
        <f>"644020240514122536178888"</f>
        <v>644020240514122536178888</v>
      </c>
      <c r="F3719" s="9"/>
    </row>
    <row r="3720" s="2" customFormat="1" ht="30" customHeight="1" spans="1:6">
      <c r="A3720" s="9">
        <v>3717</v>
      </c>
      <c r="B3720" s="10" t="s">
        <v>3377</v>
      </c>
      <c r="C3720" s="10" t="s">
        <v>3378</v>
      </c>
      <c r="D3720" s="10" t="s">
        <v>3662</v>
      </c>
      <c r="E3720" s="10" t="str">
        <f>"644020240516101528182988"</f>
        <v>644020240516101528182988</v>
      </c>
      <c r="F3720" s="9"/>
    </row>
    <row r="3721" s="2" customFormat="1" ht="30" customHeight="1" spans="1:6">
      <c r="A3721" s="9">
        <v>3718</v>
      </c>
      <c r="B3721" s="10" t="s">
        <v>3377</v>
      </c>
      <c r="C3721" s="10" t="s">
        <v>3378</v>
      </c>
      <c r="D3721" s="10" t="s">
        <v>3663</v>
      </c>
      <c r="E3721" s="10" t="str">
        <f>"644020240513223600177390"</f>
        <v>644020240513223600177390</v>
      </c>
      <c r="F3721" s="9"/>
    </row>
    <row r="3722" s="2" customFormat="1" ht="30" customHeight="1" spans="1:6">
      <c r="A3722" s="9">
        <v>3719</v>
      </c>
      <c r="B3722" s="10" t="s">
        <v>3377</v>
      </c>
      <c r="C3722" s="10" t="s">
        <v>3378</v>
      </c>
      <c r="D3722" s="10" t="s">
        <v>3664</v>
      </c>
      <c r="E3722" s="10" t="str">
        <f>"644020240514141853179112"</f>
        <v>644020240514141853179112</v>
      </c>
      <c r="F3722" s="9"/>
    </row>
    <row r="3723" s="2" customFormat="1" ht="30" customHeight="1" spans="1:6">
      <c r="A3723" s="9">
        <v>3720</v>
      </c>
      <c r="B3723" s="10" t="s">
        <v>3377</v>
      </c>
      <c r="C3723" s="10" t="s">
        <v>3378</v>
      </c>
      <c r="D3723" s="10" t="s">
        <v>3665</v>
      </c>
      <c r="E3723" s="10" t="str">
        <f>"644020240516115546183218"</f>
        <v>644020240516115546183218</v>
      </c>
      <c r="F3723" s="9"/>
    </row>
    <row r="3724" s="2" customFormat="1" ht="30" customHeight="1" spans="1:6">
      <c r="A3724" s="9">
        <v>3721</v>
      </c>
      <c r="B3724" s="10" t="s">
        <v>3377</v>
      </c>
      <c r="C3724" s="10" t="s">
        <v>3378</v>
      </c>
      <c r="D3724" s="10" t="s">
        <v>3666</v>
      </c>
      <c r="E3724" s="10" t="str">
        <f>"644020240515184212182110"</f>
        <v>644020240515184212182110</v>
      </c>
      <c r="F3724" s="9"/>
    </row>
    <row r="3725" s="2" customFormat="1" ht="30" customHeight="1" spans="1:6">
      <c r="A3725" s="9">
        <v>3722</v>
      </c>
      <c r="B3725" s="10" t="s">
        <v>3377</v>
      </c>
      <c r="C3725" s="10" t="s">
        <v>3378</v>
      </c>
      <c r="D3725" s="10" t="s">
        <v>3667</v>
      </c>
      <c r="E3725" s="10" t="str">
        <f>"644020240516131037183349"</f>
        <v>644020240516131037183349</v>
      </c>
      <c r="F3725" s="9"/>
    </row>
    <row r="3726" s="2" customFormat="1" ht="30" customHeight="1" spans="1:6">
      <c r="A3726" s="9">
        <v>3723</v>
      </c>
      <c r="B3726" s="10" t="s">
        <v>3377</v>
      </c>
      <c r="C3726" s="10" t="s">
        <v>3378</v>
      </c>
      <c r="D3726" s="10" t="s">
        <v>3668</v>
      </c>
      <c r="E3726" s="10" t="str">
        <f>"644020240512201047170752"</f>
        <v>644020240512201047170752</v>
      </c>
      <c r="F3726" s="9"/>
    </row>
    <row r="3727" s="2" customFormat="1" ht="30" customHeight="1" spans="1:6">
      <c r="A3727" s="9">
        <v>3724</v>
      </c>
      <c r="B3727" s="10" t="s">
        <v>3377</v>
      </c>
      <c r="C3727" s="10" t="s">
        <v>3378</v>
      </c>
      <c r="D3727" s="10" t="s">
        <v>3669</v>
      </c>
      <c r="E3727" s="10" t="str">
        <f>"644020240512231959171781"</f>
        <v>644020240512231959171781</v>
      </c>
      <c r="F3727" s="9"/>
    </row>
    <row r="3728" s="2" customFormat="1" ht="30" customHeight="1" spans="1:6">
      <c r="A3728" s="9">
        <v>3725</v>
      </c>
      <c r="B3728" s="10" t="s">
        <v>3377</v>
      </c>
      <c r="C3728" s="10" t="s">
        <v>3378</v>
      </c>
      <c r="D3728" s="10" t="s">
        <v>3670</v>
      </c>
      <c r="E3728" s="10" t="str">
        <f>"644020240516114632183200"</f>
        <v>644020240516114632183200</v>
      </c>
      <c r="F3728" s="9"/>
    </row>
    <row r="3729" s="2" customFormat="1" ht="30" customHeight="1" spans="1:6">
      <c r="A3729" s="9">
        <v>3726</v>
      </c>
      <c r="B3729" s="10" t="s">
        <v>3377</v>
      </c>
      <c r="C3729" s="10" t="s">
        <v>3378</v>
      </c>
      <c r="D3729" s="10" t="s">
        <v>3671</v>
      </c>
      <c r="E3729" s="10" t="str">
        <f>"644020240516135755183400"</f>
        <v>644020240516135755183400</v>
      </c>
      <c r="F3729" s="9"/>
    </row>
    <row r="3730" s="2" customFormat="1" ht="30" customHeight="1" spans="1:6">
      <c r="A3730" s="9">
        <v>3727</v>
      </c>
      <c r="B3730" s="10" t="s">
        <v>3377</v>
      </c>
      <c r="C3730" s="10" t="s">
        <v>3378</v>
      </c>
      <c r="D3730" s="10" t="s">
        <v>3672</v>
      </c>
      <c r="E3730" s="10" t="str">
        <f>"644020240516141145183413"</f>
        <v>644020240516141145183413</v>
      </c>
      <c r="F3730" s="9"/>
    </row>
    <row r="3731" s="2" customFormat="1" ht="30" customHeight="1" spans="1:6">
      <c r="A3731" s="9">
        <v>3728</v>
      </c>
      <c r="B3731" s="10" t="s">
        <v>3377</v>
      </c>
      <c r="C3731" s="10" t="s">
        <v>3378</v>
      </c>
      <c r="D3731" s="10" t="s">
        <v>3673</v>
      </c>
      <c r="E3731" s="10" t="str">
        <f>"644020240516122359183269"</f>
        <v>644020240516122359183269</v>
      </c>
      <c r="F3731" s="9"/>
    </row>
    <row r="3732" s="2" customFormat="1" ht="30" customHeight="1" spans="1:6">
      <c r="A3732" s="9">
        <v>3729</v>
      </c>
      <c r="B3732" s="10" t="s">
        <v>3377</v>
      </c>
      <c r="C3732" s="10" t="s">
        <v>3378</v>
      </c>
      <c r="D3732" s="10" t="s">
        <v>3674</v>
      </c>
      <c r="E3732" s="10" t="str">
        <f>"644020240515195847182211"</f>
        <v>644020240515195847182211</v>
      </c>
      <c r="F3732" s="9"/>
    </row>
    <row r="3733" s="2" customFormat="1" ht="30" customHeight="1" spans="1:6">
      <c r="A3733" s="9">
        <v>3730</v>
      </c>
      <c r="B3733" s="10" t="s">
        <v>3377</v>
      </c>
      <c r="C3733" s="10" t="s">
        <v>3378</v>
      </c>
      <c r="D3733" s="10" t="s">
        <v>3675</v>
      </c>
      <c r="E3733" s="10" t="str">
        <f>"644020240514223603180393"</f>
        <v>644020240514223603180393</v>
      </c>
      <c r="F3733" s="9"/>
    </row>
    <row r="3734" s="2" customFormat="1" ht="30" customHeight="1" spans="1:6">
      <c r="A3734" s="9">
        <v>3731</v>
      </c>
      <c r="B3734" s="10" t="s">
        <v>3377</v>
      </c>
      <c r="C3734" s="10" t="s">
        <v>3378</v>
      </c>
      <c r="D3734" s="10" t="s">
        <v>3676</v>
      </c>
      <c r="E3734" s="10" t="str">
        <f>"644020240514063605177768"</f>
        <v>644020240514063605177768</v>
      </c>
      <c r="F3734" s="9"/>
    </row>
    <row r="3735" s="2" customFormat="1" ht="30" customHeight="1" spans="1:6">
      <c r="A3735" s="9">
        <v>3732</v>
      </c>
      <c r="B3735" s="10" t="s">
        <v>3377</v>
      </c>
      <c r="C3735" s="10" t="s">
        <v>3378</v>
      </c>
      <c r="D3735" s="10" t="s">
        <v>3677</v>
      </c>
      <c r="E3735" s="10" t="str">
        <f>"644020240515170221181963"</f>
        <v>644020240515170221181963</v>
      </c>
      <c r="F3735" s="9"/>
    </row>
    <row r="3736" s="2" customFormat="1" ht="30" customHeight="1" spans="1:6">
      <c r="A3736" s="9">
        <v>3733</v>
      </c>
      <c r="B3736" s="10" t="s">
        <v>3377</v>
      </c>
      <c r="C3736" s="10" t="s">
        <v>3378</v>
      </c>
      <c r="D3736" s="10" t="s">
        <v>3678</v>
      </c>
      <c r="E3736" s="10" t="str">
        <f>"644020240512204520170911"</f>
        <v>644020240512204520170911</v>
      </c>
      <c r="F3736" s="9"/>
    </row>
    <row r="3737" s="2" customFormat="1" ht="30" customHeight="1" spans="1:6">
      <c r="A3737" s="9">
        <v>3734</v>
      </c>
      <c r="B3737" s="10" t="s">
        <v>3377</v>
      </c>
      <c r="C3737" s="10" t="s">
        <v>3378</v>
      </c>
      <c r="D3737" s="10" t="s">
        <v>3679</v>
      </c>
      <c r="E3737" s="10" t="str">
        <f>"644020240515115437181309"</f>
        <v>644020240515115437181309</v>
      </c>
      <c r="F3737" s="9"/>
    </row>
    <row r="3738" s="2" customFormat="1" ht="30" customHeight="1" spans="1:6">
      <c r="A3738" s="9">
        <v>3735</v>
      </c>
      <c r="B3738" s="10" t="s">
        <v>3377</v>
      </c>
      <c r="C3738" s="10" t="s">
        <v>3378</v>
      </c>
      <c r="D3738" s="10" t="s">
        <v>3680</v>
      </c>
      <c r="E3738" s="10" t="str">
        <f>"644020240516155238183593"</f>
        <v>644020240516155238183593</v>
      </c>
      <c r="F3738" s="9"/>
    </row>
    <row r="3739" s="2" customFormat="1" ht="30" customHeight="1" spans="1:6">
      <c r="A3739" s="9">
        <v>3736</v>
      </c>
      <c r="B3739" s="10" t="s">
        <v>3377</v>
      </c>
      <c r="C3739" s="10" t="s">
        <v>3378</v>
      </c>
      <c r="D3739" s="10" t="s">
        <v>3681</v>
      </c>
      <c r="E3739" s="10" t="str">
        <f>"644020240516170754183786"</f>
        <v>644020240516170754183786</v>
      </c>
      <c r="F3739" s="9"/>
    </row>
    <row r="3740" s="2" customFormat="1" ht="30" customHeight="1" spans="1:6">
      <c r="A3740" s="9">
        <v>3737</v>
      </c>
      <c r="B3740" s="10" t="s">
        <v>3377</v>
      </c>
      <c r="C3740" s="10" t="s">
        <v>3378</v>
      </c>
      <c r="D3740" s="10" t="s">
        <v>3682</v>
      </c>
      <c r="E3740" s="10" t="str">
        <f>"644020240516170754183787"</f>
        <v>644020240516170754183787</v>
      </c>
      <c r="F3740" s="9"/>
    </row>
    <row r="3741" s="2" customFormat="1" ht="30" customHeight="1" spans="1:6">
      <c r="A3741" s="9">
        <v>3738</v>
      </c>
      <c r="B3741" s="10" t="s">
        <v>3377</v>
      </c>
      <c r="C3741" s="10" t="s">
        <v>3378</v>
      </c>
      <c r="D3741" s="10" t="s">
        <v>3683</v>
      </c>
      <c r="E3741" s="10" t="str">
        <f>"644020240516170823183789"</f>
        <v>644020240516170823183789</v>
      </c>
      <c r="F3741" s="9"/>
    </row>
    <row r="3742" s="2" customFormat="1" ht="30" customHeight="1" spans="1:6">
      <c r="A3742" s="9">
        <v>3739</v>
      </c>
      <c r="B3742" s="10" t="s">
        <v>3377</v>
      </c>
      <c r="C3742" s="10" t="s">
        <v>3378</v>
      </c>
      <c r="D3742" s="10" t="s">
        <v>3684</v>
      </c>
      <c r="E3742" s="10" t="str">
        <f>"644020240515231249182537"</f>
        <v>644020240515231249182537</v>
      </c>
      <c r="F3742" s="9"/>
    </row>
    <row r="3743" s="2" customFormat="1" ht="30" customHeight="1" spans="1:6">
      <c r="A3743" s="9">
        <v>3740</v>
      </c>
      <c r="B3743" s="10" t="s">
        <v>3377</v>
      </c>
      <c r="C3743" s="10" t="s">
        <v>3378</v>
      </c>
      <c r="D3743" s="10" t="s">
        <v>3685</v>
      </c>
      <c r="E3743" s="10" t="str">
        <f>"644020240515155948181776"</f>
        <v>644020240515155948181776</v>
      </c>
      <c r="F3743" s="9"/>
    </row>
    <row r="3744" s="2" customFormat="1" ht="30" customHeight="1" spans="1:6">
      <c r="A3744" s="9">
        <v>3741</v>
      </c>
      <c r="B3744" s="10" t="s">
        <v>3377</v>
      </c>
      <c r="C3744" s="10" t="s">
        <v>3378</v>
      </c>
      <c r="D3744" s="10" t="s">
        <v>2153</v>
      </c>
      <c r="E3744" s="10" t="str">
        <f>"644020240516184232183954"</f>
        <v>644020240516184232183954</v>
      </c>
      <c r="F3744" s="9"/>
    </row>
    <row r="3745" s="2" customFormat="1" ht="30" customHeight="1" spans="1:6">
      <c r="A3745" s="9">
        <v>3742</v>
      </c>
      <c r="B3745" s="10" t="s">
        <v>3377</v>
      </c>
      <c r="C3745" s="10" t="s">
        <v>3378</v>
      </c>
      <c r="D3745" s="10" t="s">
        <v>3686</v>
      </c>
      <c r="E3745" s="10" t="str">
        <f>"644020240516192418184009"</f>
        <v>644020240516192418184009</v>
      </c>
      <c r="F3745" s="9"/>
    </row>
    <row r="3746" s="2" customFormat="1" ht="30" customHeight="1" spans="1:6">
      <c r="A3746" s="9">
        <v>3743</v>
      </c>
      <c r="B3746" s="10" t="s">
        <v>3377</v>
      </c>
      <c r="C3746" s="10" t="s">
        <v>3378</v>
      </c>
      <c r="D3746" s="10" t="s">
        <v>3687</v>
      </c>
      <c r="E3746" s="10" t="str">
        <f>"644020240516132356183367"</f>
        <v>644020240516132356183367</v>
      </c>
      <c r="F3746" s="9"/>
    </row>
    <row r="3747" s="2" customFormat="1" ht="30" customHeight="1" spans="1:6">
      <c r="A3747" s="9">
        <v>3744</v>
      </c>
      <c r="B3747" s="10" t="s">
        <v>3377</v>
      </c>
      <c r="C3747" s="10" t="s">
        <v>3378</v>
      </c>
      <c r="D3747" s="10" t="s">
        <v>3688</v>
      </c>
      <c r="E3747" s="10" t="str">
        <f>"644020240515171948181993"</f>
        <v>644020240515171948181993</v>
      </c>
      <c r="F3747" s="9"/>
    </row>
    <row r="3748" s="2" customFormat="1" ht="30" customHeight="1" spans="1:6">
      <c r="A3748" s="9">
        <v>3745</v>
      </c>
      <c r="B3748" s="10" t="s">
        <v>3377</v>
      </c>
      <c r="C3748" s="10" t="s">
        <v>3378</v>
      </c>
      <c r="D3748" s="10" t="s">
        <v>3689</v>
      </c>
      <c r="E3748" s="10" t="str">
        <f>"644020240516212850184133"</f>
        <v>644020240516212850184133</v>
      </c>
      <c r="F3748" s="9"/>
    </row>
    <row r="3749" s="2" customFormat="1" ht="30" customHeight="1" spans="1:6">
      <c r="A3749" s="9">
        <v>3746</v>
      </c>
      <c r="B3749" s="10" t="s">
        <v>3377</v>
      </c>
      <c r="C3749" s="10" t="s">
        <v>3378</v>
      </c>
      <c r="D3749" s="10" t="s">
        <v>3690</v>
      </c>
      <c r="E3749" s="10" t="str">
        <f>"644020240514222826180370"</f>
        <v>644020240514222826180370</v>
      </c>
      <c r="F3749" s="9"/>
    </row>
    <row r="3750" s="2" customFormat="1" ht="30" customHeight="1" spans="1:6">
      <c r="A3750" s="9">
        <v>3747</v>
      </c>
      <c r="B3750" s="10" t="s">
        <v>3377</v>
      </c>
      <c r="C3750" s="10" t="s">
        <v>3378</v>
      </c>
      <c r="D3750" s="10" t="s">
        <v>3691</v>
      </c>
      <c r="E3750" s="10" t="str">
        <f>"644020240516214238184172"</f>
        <v>644020240516214238184172</v>
      </c>
      <c r="F3750" s="9"/>
    </row>
    <row r="3751" s="2" customFormat="1" ht="30" customHeight="1" spans="1:6">
      <c r="A3751" s="9">
        <v>3748</v>
      </c>
      <c r="B3751" s="10" t="s">
        <v>3377</v>
      </c>
      <c r="C3751" s="10" t="s">
        <v>3378</v>
      </c>
      <c r="D3751" s="10" t="s">
        <v>3692</v>
      </c>
      <c r="E3751" s="10" t="str">
        <f>"644020240515164604181920"</f>
        <v>644020240515164604181920</v>
      </c>
      <c r="F3751" s="9"/>
    </row>
    <row r="3752" s="2" customFormat="1" ht="30" customHeight="1" spans="1:6">
      <c r="A3752" s="9">
        <v>3749</v>
      </c>
      <c r="B3752" s="10" t="s">
        <v>3377</v>
      </c>
      <c r="C3752" s="10" t="s">
        <v>3378</v>
      </c>
      <c r="D3752" s="10" t="s">
        <v>3693</v>
      </c>
      <c r="E3752" s="10" t="str">
        <f>"644020240516104440183046"</f>
        <v>644020240516104440183046</v>
      </c>
      <c r="F3752" s="9"/>
    </row>
    <row r="3753" s="2" customFormat="1" ht="30" customHeight="1" spans="1:6">
      <c r="A3753" s="9">
        <v>3750</v>
      </c>
      <c r="B3753" s="10" t="s">
        <v>3377</v>
      </c>
      <c r="C3753" s="10" t="s">
        <v>3378</v>
      </c>
      <c r="D3753" s="10" t="s">
        <v>3694</v>
      </c>
      <c r="E3753" s="10" t="str">
        <f>"644020240515130850181432"</f>
        <v>644020240515130850181432</v>
      </c>
      <c r="F3753" s="9"/>
    </row>
    <row r="3754" s="2" customFormat="1" ht="30" customHeight="1" spans="1:6">
      <c r="A3754" s="9">
        <v>3751</v>
      </c>
      <c r="B3754" s="10" t="s">
        <v>3377</v>
      </c>
      <c r="C3754" s="10" t="s">
        <v>3378</v>
      </c>
      <c r="D3754" s="10" t="s">
        <v>3695</v>
      </c>
      <c r="E3754" s="10" t="str">
        <f>"644020240516221305184252"</f>
        <v>644020240516221305184252</v>
      </c>
      <c r="F3754" s="9"/>
    </row>
    <row r="3755" s="2" customFormat="1" ht="30" customHeight="1" spans="1:6">
      <c r="A3755" s="9">
        <v>3752</v>
      </c>
      <c r="B3755" s="10" t="s">
        <v>3377</v>
      </c>
      <c r="C3755" s="10" t="s">
        <v>3378</v>
      </c>
      <c r="D3755" s="10" t="s">
        <v>3696</v>
      </c>
      <c r="E3755" s="10" t="str">
        <f>"644020240516221042184245"</f>
        <v>644020240516221042184245</v>
      </c>
      <c r="F3755" s="9"/>
    </row>
    <row r="3756" s="2" customFormat="1" ht="30" customHeight="1" spans="1:6">
      <c r="A3756" s="9">
        <v>3753</v>
      </c>
      <c r="B3756" s="10" t="s">
        <v>3377</v>
      </c>
      <c r="C3756" s="10" t="s">
        <v>3378</v>
      </c>
      <c r="D3756" s="10" t="s">
        <v>3697</v>
      </c>
      <c r="E3756" s="10" t="str">
        <f>"644020240514234143180542"</f>
        <v>644020240514234143180542</v>
      </c>
      <c r="F3756" s="9"/>
    </row>
    <row r="3757" s="2" customFormat="1" ht="30" customHeight="1" spans="1:6">
      <c r="A3757" s="9">
        <v>3754</v>
      </c>
      <c r="B3757" s="10" t="s">
        <v>3377</v>
      </c>
      <c r="C3757" s="10" t="s">
        <v>3378</v>
      </c>
      <c r="D3757" s="10" t="s">
        <v>3698</v>
      </c>
      <c r="E3757" s="10" t="str">
        <f>"644020240516221203184248"</f>
        <v>644020240516221203184248</v>
      </c>
      <c r="F3757" s="9"/>
    </row>
    <row r="3758" s="2" customFormat="1" ht="30" customHeight="1" spans="1:6">
      <c r="A3758" s="9">
        <v>3755</v>
      </c>
      <c r="B3758" s="10" t="s">
        <v>3377</v>
      </c>
      <c r="C3758" s="10" t="s">
        <v>3378</v>
      </c>
      <c r="D3758" s="10" t="s">
        <v>3699</v>
      </c>
      <c r="E3758" s="10" t="str">
        <f>"644020240516110943183131"</f>
        <v>644020240516110943183131</v>
      </c>
      <c r="F3758" s="9"/>
    </row>
    <row r="3759" s="2" customFormat="1" ht="30" customHeight="1" spans="1:6">
      <c r="A3759" s="9">
        <v>3756</v>
      </c>
      <c r="B3759" s="10" t="s">
        <v>3377</v>
      </c>
      <c r="C3759" s="10" t="s">
        <v>3378</v>
      </c>
      <c r="D3759" s="10" t="s">
        <v>3700</v>
      </c>
      <c r="E3759" s="10" t="str">
        <f>"644020240515065807180640"</f>
        <v>644020240515065807180640</v>
      </c>
      <c r="F3759" s="9"/>
    </row>
    <row r="3760" s="2" customFormat="1" ht="30" customHeight="1" spans="1:6">
      <c r="A3760" s="9">
        <v>3757</v>
      </c>
      <c r="B3760" s="10" t="s">
        <v>3377</v>
      </c>
      <c r="C3760" s="10" t="s">
        <v>3378</v>
      </c>
      <c r="D3760" s="10" t="s">
        <v>3701</v>
      </c>
      <c r="E3760" s="10" t="str">
        <f>"644020240517020439184545"</f>
        <v>644020240517020439184545</v>
      </c>
      <c r="F3760" s="9"/>
    </row>
    <row r="3761" s="2" customFormat="1" ht="30" customHeight="1" spans="1:6">
      <c r="A3761" s="9">
        <v>3758</v>
      </c>
      <c r="B3761" s="10" t="s">
        <v>3377</v>
      </c>
      <c r="C3761" s="10" t="s">
        <v>3378</v>
      </c>
      <c r="D3761" s="10" t="s">
        <v>3702</v>
      </c>
      <c r="E3761" s="10" t="str">
        <f>"644020240517014619184541"</f>
        <v>644020240517014619184541</v>
      </c>
      <c r="F3761" s="9"/>
    </row>
    <row r="3762" s="2" customFormat="1" ht="30" customHeight="1" spans="1:6">
      <c r="A3762" s="9">
        <v>3759</v>
      </c>
      <c r="B3762" s="10" t="s">
        <v>3377</v>
      </c>
      <c r="C3762" s="10" t="s">
        <v>3378</v>
      </c>
      <c r="D3762" s="10" t="s">
        <v>3703</v>
      </c>
      <c r="E3762" s="10" t="str">
        <f>"644020240517022301184550"</f>
        <v>644020240517022301184550</v>
      </c>
      <c r="F3762" s="9"/>
    </row>
    <row r="3763" s="2" customFormat="1" ht="30" customHeight="1" spans="1:6">
      <c r="A3763" s="9">
        <v>3760</v>
      </c>
      <c r="B3763" s="10" t="s">
        <v>3377</v>
      </c>
      <c r="C3763" s="10" t="s">
        <v>3378</v>
      </c>
      <c r="D3763" s="10" t="s">
        <v>3704</v>
      </c>
      <c r="E3763" s="10" t="str">
        <f>"644020240517053751184559"</f>
        <v>644020240517053751184559</v>
      </c>
      <c r="F3763" s="9"/>
    </row>
    <row r="3764" s="2" customFormat="1" ht="30" customHeight="1" spans="1:6">
      <c r="A3764" s="9">
        <v>3761</v>
      </c>
      <c r="B3764" s="10" t="s">
        <v>3377</v>
      </c>
      <c r="C3764" s="10" t="s">
        <v>3378</v>
      </c>
      <c r="D3764" s="10" t="s">
        <v>3705</v>
      </c>
      <c r="E3764" s="10" t="str">
        <f>"644020240516190642183983"</f>
        <v>644020240516190642183983</v>
      </c>
      <c r="F3764" s="9"/>
    </row>
    <row r="3765" s="2" customFormat="1" ht="30" customHeight="1" spans="1:6">
      <c r="A3765" s="9">
        <v>3762</v>
      </c>
      <c r="B3765" s="10" t="s">
        <v>3377</v>
      </c>
      <c r="C3765" s="10" t="s">
        <v>3378</v>
      </c>
      <c r="D3765" s="10" t="s">
        <v>3706</v>
      </c>
      <c r="E3765" s="10" t="str">
        <f>"644020240517065602184568"</f>
        <v>644020240517065602184568</v>
      </c>
      <c r="F3765" s="9"/>
    </row>
    <row r="3766" s="2" customFormat="1" ht="30" customHeight="1" spans="1:6">
      <c r="A3766" s="9">
        <v>3763</v>
      </c>
      <c r="B3766" s="10" t="s">
        <v>3377</v>
      </c>
      <c r="C3766" s="10" t="s">
        <v>3378</v>
      </c>
      <c r="D3766" s="10" t="s">
        <v>3707</v>
      </c>
      <c r="E3766" s="10" t="str">
        <f>"644020240512162106169965"</f>
        <v>644020240512162106169965</v>
      </c>
      <c r="F3766" s="9"/>
    </row>
    <row r="3767" s="2" customFormat="1" ht="30" customHeight="1" spans="1:6">
      <c r="A3767" s="9">
        <v>3764</v>
      </c>
      <c r="B3767" s="10" t="s">
        <v>3377</v>
      </c>
      <c r="C3767" s="10" t="s">
        <v>3378</v>
      </c>
      <c r="D3767" s="10" t="s">
        <v>3708</v>
      </c>
      <c r="E3767" s="10" t="str">
        <f>"644020240517092956184746"</f>
        <v>644020240517092956184746</v>
      </c>
      <c r="F3767" s="9"/>
    </row>
    <row r="3768" s="2" customFormat="1" ht="30" customHeight="1" spans="1:6">
      <c r="A3768" s="9">
        <v>3765</v>
      </c>
      <c r="B3768" s="10" t="s">
        <v>3377</v>
      </c>
      <c r="C3768" s="10" t="s">
        <v>3378</v>
      </c>
      <c r="D3768" s="10" t="s">
        <v>3709</v>
      </c>
      <c r="E3768" s="10" t="str">
        <f>"644020240515085516180751"</f>
        <v>644020240515085516180751</v>
      </c>
      <c r="F3768" s="9"/>
    </row>
    <row r="3769" s="2" customFormat="1" ht="30" customHeight="1" spans="1:6">
      <c r="A3769" s="9">
        <v>3766</v>
      </c>
      <c r="B3769" s="10" t="s">
        <v>3377</v>
      </c>
      <c r="C3769" s="10" t="s">
        <v>3378</v>
      </c>
      <c r="D3769" s="10" t="s">
        <v>3710</v>
      </c>
      <c r="E3769" s="10" t="str">
        <f>"644020240516093741182893"</f>
        <v>644020240516093741182893</v>
      </c>
      <c r="F3769" s="9"/>
    </row>
    <row r="3770" s="2" customFormat="1" ht="30" customHeight="1" spans="1:6">
      <c r="A3770" s="9">
        <v>3767</v>
      </c>
      <c r="B3770" s="10" t="s">
        <v>3377</v>
      </c>
      <c r="C3770" s="10" t="s">
        <v>3378</v>
      </c>
      <c r="D3770" s="10" t="s">
        <v>3711</v>
      </c>
      <c r="E3770" s="10" t="str">
        <f>"644020240517101053184838"</f>
        <v>644020240517101053184838</v>
      </c>
      <c r="F3770" s="9"/>
    </row>
    <row r="3771" s="2" customFormat="1" ht="30" customHeight="1" spans="1:6">
      <c r="A3771" s="9">
        <v>3768</v>
      </c>
      <c r="B3771" s="10" t="s">
        <v>3377</v>
      </c>
      <c r="C3771" s="10" t="s">
        <v>3378</v>
      </c>
      <c r="D3771" s="10" t="s">
        <v>3712</v>
      </c>
      <c r="E3771" s="10" t="str">
        <f>"644020240517105204184928"</f>
        <v>644020240517105204184928</v>
      </c>
      <c r="F3771" s="9"/>
    </row>
    <row r="3772" s="2" customFormat="1" ht="30" customHeight="1" spans="1:6">
      <c r="A3772" s="9">
        <v>3769</v>
      </c>
      <c r="B3772" s="10" t="s">
        <v>3377</v>
      </c>
      <c r="C3772" s="10" t="s">
        <v>3378</v>
      </c>
      <c r="D3772" s="10" t="s">
        <v>3713</v>
      </c>
      <c r="E3772" s="10" t="str">
        <f>"644020240517112340185006"</f>
        <v>644020240517112340185006</v>
      </c>
      <c r="F3772" s="9"/>
    </row>
    <row r="3773" s="2" customFormat="1" ht="30" customHeight="1" spans="1:6">
      <c r="A3773" s="9">
        <v>3770</v>
      </c>
      <c r="B3773" s="10" t="s">
        <v>3377</v>
      </c>
      <c r="C3773" s="10" t="s">
        <v>3378</v>
      </c>
      <c r="D3773" s="10" t="s">
        <v>3714</v>
      </c>
      <c r="E3773" s="10" t="str">
        <f>"644020240515101201180980"</f>
        <v>644020240515101201180980</v>
      </c>
      <c r="F3773" s="9"/>
    </row>
    <row r="3774" s="2" customFormat="1" ht="30" customHeight="1" spans="1:6">
      <c r="A3774" s="9">
        <v>3771</v>
      </c>
      <c r="B3774" s="10" t="s">
        <v>3377</v>
      </c>
      <c r="C3774" s="10" t="s">
        <v>3378</v>
      </c>
      <c r="D3774" s="10" t="s">
        <v>3715</v>
      </c>
      <c r="E3774" s="10" t="str">
        <f>"644020240516103420183037"</f>
        <v>644020240516103420183037</v>
      </c>
      <c r="F3774" s="9"/>
    </row>
    <row r="3775" s="2" customFormat="1" ht="30" customHeight="1" spans="1:6">
      <c r="A3775" s="9">
        <v>3772</v>
      </c>
      <c r="B3775" s="10" t="s">
        <v>3377</v>
      </c>
      <c r="C3775" s="10" t="s">
        <v>3378</v>
      </c>
      <c r="D3775" s="10" t="s">
        <v>3716</v>
      </c>
      <c r="E3775" s="10" t="str">
        <f>"644020240517123212185136"</f>
        <v>644020240517123212185136</v>
      </c>
      <c r="F3775" s="9"/>
    </row>
    <row r="3776" s="2" customFormat="1" ht="30" customHeight="1" spans="1:6">
      <c r="A3776" s="9">
        <v>3773</v>
      </c>
      <c r="B3776" s="10" t="s">
        <v>3377</v>
      </c>
      <c r="C3776" s="10" t="s">
        <v>3378</v>
      </c>
      <c r="D3776" s="10" t="s">
        <v>3717</v>
      </c>
      <c r="E3776" s="10" t="str">
        <f>"644020240517095544184801"</f>
        <v>644020240517095544184801</v>
      </c>
      <c r="F3776" s="9"/>
    </row>
    <row r="3777" s="2" customFormat="1" ht="30" customHeight="1" spans="1:6">
      <c r="A3777" s="9">
        <v>3774</v>
      </c>
      <c r="B3777" s="10" t="s">
        <v>3377</v>
      </c>
      <c r="C3777" s="10" t="s">
        <v>3378</v>
      </c>
      <c r="D3777" s="10" t="s">
        <v>3718</v>
      </c>
      <c r="E3777" s="10" t="str">
        <f>"644020240515113305181252"</f>
        <v>644020240515113305181252</v>
      </c>
      <c r="F3777" s="9"/>
    </row>
    <row r="3778" s="2" customFormat="1" ht="30" customHeight="1" spans="1:6">
      <c r="A3778" s="9">
        <v>3775</v>
      </c>
      <c r="B3778" s="10" t="s">
        <v>3377</v>
      </c>
      <c r="C3778" s="10" t="s">
        <v>3378</v>
      </c>
      <c r="D3778" s="10" t="s">
        <v>3719</v>
      </c>
      <c r="E3778" s="10" t="str">
        <f>"644020240517130601185216"</f>
        <v>644020240517130601185216</v>
      </c>
      <c r="F3778" s="9"/>
    </row>
    <row r="3779" s="2" customFormat="1" ht="30" customHeight="1" spans="1:6">
      <c r="A3779" s="9">
        <v>3776</v>
      </c>
      <c r="B3779" s="10" t="s">
        <v>3377</v>
      </c>
      <c r="C3779" s="10" t="s">
        <v>3378</v>
      </c>
      <c r="D3779" s="10" t="s">
        <v>3720</v>
      </c>
      <c r="E3779" s="10" t="str">
        <f>"644020240517134203185287"</f>
        <v>644020240517134203185287</v>
      </c>
      <c r="F3779" s="9"/>
    </row>
    <row r="3780" s="2" customFormat="1" ht="30" customHeight="1" spans="1:6">
      <c r="A3780" s="9">
        <v>3777</v>
      </c>
      <c r="B3780" s="10" t="s">
        <v>3377</v>
      </c>
      <c r="C3780" s="10" t="s">
        <v>3378</v>
      </c>
      <c r="D3780" s="10" t="s">
        <v>3721</v>
      </c>
      <c r="E3780" s="10" t="str">
        <f>"644020240517010006184517"</f>
        <v>644020240517010006184517</v>
      </c>
      <c r="F3780" s="9"/>
    </row>
    <row r="3781" s="2" customFormat="1" ht="30" customHeight="1" spans="1:6">
      <c r="A3781" s="9">
        <v>3778</v>
      </c>
      <c r="B3781" s="10" t="s">
        <v>3377</v>
      </c>
      <c r="C3781" s="10" t="s">
        <v>3378</v>
      </c>
      <c r="D3781" s="10" t="s">
        <v>3722</v>
      </c>
      <c r="E3781" s="10" t="str">
        <f>"644020240517141533185338"</f>
        <v>644020240517141533185338</v>
      </c>
      <c r="F3781" s="9"/>
    </row>
    <row r="3782" s="2" customFormat="1" ht="30" customHeight="1" spans="1:6">
      <c r="A3782" s="9">
        <v>3779</v>
      </c>
      <c r="B3782" s="10" t="s">
        <v>3377</v>
      </c>
      <c r="C3782" s="10" t="s">
        <v>3378</v>
      </c>
      <c r="D3782" s="10" t="s">
        <v>3723</v>
      </c>
      <c r="E3782" s="10" t="str">
        <f>"644020240515223548182439"</f>
        <v>644020240515223548182439</v>
      </c>
      <c r="F3782" s="9"/>
    </row>
    <row r="3783" s="2" customFormat="1" ht="30" customHeight="1" spans="1:6">
      <c r="A3783" s="9">
        <v>3780</v>
      </c>
      <c r="B3783" s="10" t="s">
        <v>3377</v>
      </c>
      <c r="C3783" s="10" t="s">
        <v>3378</v>
      </c>
      <c r="D3783" s="10" t="s">
        <v>3724</v>
      </c>
      <c r="E3783" s="10" t="str">
        <f>"644020240515115935181321"</f>
        <v>644020240515115935181321</v>
      </c>
      <c r="F3783" s="9"/>
    </row>
    <row r="3784" s="2" customFormat="1" ht="30" customHeight="1" spans="1:6">
      <c r="A3784" s="9">
        <v>3781</v>
      </c>
      <c r="B3784" s="10" t="s">
        <v>3377</v>
      </c>
      <c r="C3784" s="10" t="s">
        <v>3378</v>
      </c>
      <c r="D3784" s="10" t="s">
        <v>3725</v>
      </c>
      <c r="E3784" s="10" t="str">
        <f>"644020240517152632185496"</f>
        <v>644020240517152632185496</v>
      </c>
      <c r="F3784" s="9"/>
    </row>
    <row r="3785" s="2" customFormat="1" ht="30" customHeight="1" spans="1:6">
      <c r="A3785" s="9">
        <v>3782</v>
      </c>
      <c r="B3785" s="10" t="s">
        <v>3377</v>
      </c>
      <c r="C3785" s="10" t="s">
        <v>3378</v>
      </c>
      <c r="D3785" s="10" t="s">
        <v>3726</v>
      </c>
      <c r="E3785" s="10" t="str">
        <f>"644020240515115049181298"</f>
        <v>644020240515115049181298</v>
      </c>
      <c r="F3785" s="9"/>
    </row>
    <row r="3786" s="2" customFormat="1" ht="30" customHeight="1" spans="1:6">
      <c r="A3786" s="9">
        <v>3783</v>
      </c>
      <c r="B3786" s="10" t="s">
        <v>3377</v>
      </c>
      <c r="C3786" s="10" t="s">
        <v>3378</v>
      </c>
      <c r="D3786" s="10" t="s">
        <v>3727</v>
      </c>
      <c r="E3786" s="10" t="str">
        <f>"644020240517154924185565"</f>
        <v>644020240517154924185565</v>
      </c>
      <c r="F3786" s="9"/>
    </row>
    <row r="3787" s="2" customFormat="1" ht="30" customHeight="1" spans="1:6">
      <c r="A3787" s="9">
        <v>3784</v>
      </c>
      <c r="B3787" s="10" t="s">
        <v>3377</v>
      </c>
      <c r="C3787" s="10" t="s">
        <v>3378</v>
      </c>
      <c r="D3787" s="10" t="s">
        <v>3728</v>
      </c>
      <c r="E3787" s="10" t="str">
        <f>"644020240517161729185629"</f>
        <v>644020240517161729185629</v>
      </c>
      <c r="F3787" s="9"/>
    </row>
    <row r="3788" s="2" customFormat="1" ht="30" customHeight="1" spans="1:6">
      <c r="A3788" s="9">
        <v>3785</v>
      </c>
      <c r="B3788" s="10" t="s">
        <v>3377</v>
      </c>
      <c r="C3788" s="10" t="s">
        <v>3378</v>
      </c>
      <c r="D3788" s="10" t="s">
        <v>3729</v>
      </c>
      <c r="E3788" s="10" t="str">
        <f>"644020240514220550180313"</f>
        <v>644020240514220550180313</v>
      </c>
      <c r="F3788" s="9"/>
    </row>
    <row r="3789" s="2" customFormat="1" ht="30" customHeight="1" spans="1:6">
      <c r="A3789" s="9">
        <v>3786</v>
      </c>
      <c r="B3789" s="10" t="s">
        <v>3377</v>
      </c>
      <c r="C3789" s="10" t="s">
        <v>3378</v>
      </c>
      <c r="D3789" s="10" t="s">
        <v>3730</v>
      </c>
      <c r="E3789" s="10" t="str">
        <f>"644020240517153439185520"</f>
        <v>644020240517153439185520</v>
      </c>
      <c r="F3789" s="9"/>
    </row>
    <row r="3790" s="2" customFormat="1" ht="30" customHeight="1" spans="1:6">
      <c r="A3790" s="9">
        <v>3787</v>
      </c>
      <c r="B3790" s="10" t="s">
        <v>3377</v>
      </c>
      <c r="C3790" s="10" t="s">
        <v>3378</v>
      </c>
      <c r="D3790" s="10" t="s">
        <v>3731</v>
      </c>
      <c r="E3790" s="10" t="str">
        <f>"644020240517150121185428"</f>
        <v>644020240517150121185428</v>
      </c>
      <c r="F3790" s="9"/>
    </row>
    <row r="3791" s="2" customFormat="1" ht="30" customHeight="1" spans="1:6">
      <c r="A3791" s="9">
        <v>3788</v>
      </c>
      <c r="B3791" s="10" t="s">
        <v>3377</v>
      </c>
      <c r="C3791" s="10" t="s">
        <v>3378</v>
      </c>
      <c r="D3791" s="10" t="s">
        <v>3732</v>
      </c>
      <c r="E3791" s="10" t="str">
        <f>"644020240517143228185369"</f>
        <v>644020240517143228185369</v>
      </c>
      <c r="F3791" s="9"/>
    </row>
    <row r="3792" s="2" customFormat="1" ht="30" customHeight="1" spans="1:6">
      <c r="A3792" s="9">
        <v>3789</v>
      </c>
      <c r="B3792" s="10" t="s">
        <v>3377</v>
      </c>
      <c r="C3792" s="10" t="s">
        <v>3378</v>
      </c>
      <c r="D3792" s="10" t="s">
        <v>3733</v>
      </c>
      <c r="E3792" s="10" t="str">
        <f>"644020240517173602185751"</f>
        <v>644020240517173602185751</v>
      </c>
      <c r="F3792" s="9"/>
    </row>
    <row r="3793" s="2" customFormat="1" ht="30" customHeight="1" spans="1:6">
      <c r="A3793" s="9">
        <v>3790</v>
      </c>
      <c r="B3793" s="10" t="s">
        <v>3377</v>
      </c>
      <c r="C3793" s="10" t="s">
        <v>3378</v>
      </c>
      <c r="D3793" s="10" t="s">
        <v>3734</v>
      </c>
      <c r="E3793" s="10" t="str">
        <f>"644020240517173144185745"</f>
        <v>644020240517173144185745</v>
      </c>
      <c r="F3793" s="9"/>
    </row>
    <row r="3794" s="2" customFormat="1" ht="30" customHeight="1" spans="1:6">
      <c r="A3794" s="9">
        <v>3791</v>
      </c>
      <c r="B3794" s="10" t="s">
        <v>3377</v>
      </c>
      <c r="C3794" s="10" t="s">
        <v>3378</v>
      </c>
      <c r="D3794" s="10" t="s">
        <v>3735</v>
      </c>
      <c r="E3794" s="10" t="str">
        <f>"644020240517150005185424"</f>
        <v>644020240517150005185424</v>
      </c>
      <c r="F3794" s="9"/>
    </row>
    <row r="3795" s="2" customFormat="1" ht="30" customHeight="1" spans="1:6">
      <c r="A3795" s="9">
        <v>3792</v>
      </c>
      <c r="B3795" s="10" t="s">
        <v>3377</v>
      </c>
      <c r="C3795" s="10" t="s">
        <v>3378</v>
      </c>
      <c r="D3795" s="10" t="s">
        <v>3736</v>
      </c>
      <c r="E3795" s="10" t="str">
        <f>"644020240517165913185700"</f>
        <v>644020240517165913185700</v>
      </c>
      <c r="F3795" s="9"/>
    </row>
    <row r="3796" s="2" customFormat="1" ht="30" customHeight="1" spans="1:6">
      <c r="A3796" s="9">
        <v>3793</v>
      </c>
      <c r="B3796" s="10" t="s">
        <v>3377</v>
      </c>
      <c r="C3796" s="10" t="s">
        <v>3378</v>
      </c>
      <c r="D3796" s="10" t="s">
        <v>3737</v>
      </c>
      <c r="E3796" s="10" t="str">
        <f>"644020240517171553185728"</f>
        <v>644020240517171553185728</v>
      </c>
      <c r="F3796" s="9"/>
    </row>
    <row r="3797" s="2" customFormat="1" ht="30" customHeight="1" spans="1:6">
      <c r="A3797" s="9">
        <v>3794</v>
      </c>
      <c r="B3797" s="10" t="s">
        <v>3377</v>
      </c>
      <c r="C3797" s="10" t="s">
        <v>3378</v>
      </c>
      <c r="D3797" s="10" t="s">
        <v>3738</v>
      </c>
      <c r="E3797" s="10" t="str">
        <f>"644020240517152606185495"</f>
        <v>644020240517152606185495</v>
      </c>
      <c r="F3797" s="9"/>
    </row>
    <row r="3798" s="2" customFormat="1" ht="30" customHeight="1" spans="1:6">
      <c r="A3798" s="9">
        <v>3795</v>
      </c>
      <c r="B3798" s="10" t="s">
        <v>3377</v>
      </c>
      <c r="C3798" s="10" t="s">
        <v>3378</v>
      </c>
      <c r="D3798" s="10" t="s">
        <v>3739</v>
      </c>
      <c r="E3798" s="10" t="str">
        <f>"644020240515224032182456"</f>
        <v>644020240515224032182456</v>
      </c>
      <c r="F3798" s="9"/>
    </row>
    <row r="3799" s="2" customFormat="1" ht="30" customHeight="1" spans="1:6">
      <c r="A3799" s="9">
        <v>3796</v>
      </c>
      <c r="B3799" s="10" t="s">
        <v>3377</v>
      </c>
      <c r="C3799" s="10" t="s">
        <v>3378</v>
      </c>
      <c r="D3799" s="10" t="s">
        <v>3740</v>
      </c>
      <c r="E3799" s="10" t="str">
        <f>"644020240517163850185668"</f>
        <v>644020240517163850185668</v>
      </c>
      <c r="F3799" s="9"/>
    </row>
    <row r="3800" s="2" customFormat="1" ht="30" customHeight="1" spans="1:6">
      <c r="A3800" s="9">
        <v>3797</v>
      </c>
      <c r="B3800" s="10" t="s">
        <v>3377</v>
      </c>
      <c r="C3800" s="10" t="s">
        <v>3378</v>
      </c>
      <c r="D3800" s="10" t="s">
        <v>3741</v>
      </c>
      <c r="E3800" s="10" t="str">
        <f>"644020240516234524184433"</f>
        <v>644020240516234524184433</v>
      </c>
      <c r="F3800" s="9"/>
    </row>
    <row r="3801" s="2" customFormat="1" ht="30" customHeight="1" spans="1:6">
      <c r="A3801" s="9">
        <v>3798</v>
      </c>
      <c r="B3801" s="10" t="s">
        <v>3377</v>
      </c>
      <c r="C3801" s="10" t="s">
        <v>3378</v>
      </c>
      <c r="D3801" s="10" t="s">
        <v>3742</v>
      </c>
      <c r="E3801" s="10" t="str">
        <f>"644020240517194226185906"</f>
        <v>644020240517194226185906</v>
      </c>
      <c r="F3801" s="9"/>
    </row>
    <row r="3802" s="2" customFormat="1" ht="30" customHeight="1" spans="1:6">
      <c r="A3802" s="9">
        <v>3799</v>
      </c>
      <c r="B3802" s="10" t="s">
        <v>3377</v>
      </c>
      <c r="C3802" s="10" t="s">
        <v>3378</v>
      </c>
      <c r="D3802" s="10" t="s">
        <v>3743</v>
      </c>
      <c r="E3802" s="10" t="str">
        <f>"644020240513151001175276"</f>
        <v>644020240513151001175276</v>
      </c>
      <c r="F3802" s="9"/>
    </row>
    <row r="3803" s="2" customFormat="1" ht="30" customHeight="1" spans="1:6">
      <c r="A3803" s="9">
        <v>3800</v>
      </c>
      <c r="B3803" s="10" t="s">
        <v>3377</v>
      </c>
      <c r="C3803" s="10" t="s">
        <v>3378</v>
      </c>
      <c r="D3803" s="10" t="s">
        <v>3744</v>
      </c>
      <c r="E3803" s="10" t="str">
        <f>"644020240517174605185768"</f>
        <v>644020240517174605185768</v>
      </c>
      <c r="F3803" s="9"/>
    </row>
    <row r="3804" s="2" customFormat="1" ht="30" customHeight="1" spans="1:6">
      <c r="A3804" s="9">
        <v>3801</v>
      </c>
      <c r="B3804" s="10" t="s">
        <v>3377</v>
      </c>
      <c r="C3804" s="10" t="s">
        <v>3378</v>
      </c>
      <c r="D3804" s="10" t="s">
        <v>3745</v>
      </c>
      <c r="E3804" s="10" t="str">
        <f>"644020240517212458185978"</f>
        <v>644020240517212458185978</v>
      </c>
      <c r="F3804" s="9"/>
    </row>
    <row r="3805" s="2" customFormat="1" ht="30" customHeight="1" spans="1:6">
      <c r="A3805" s="9">
        <v>3802</v>
      </c>
      <c r="B3805" s="10" t="s">
        <v>3377</v>
      </c>
      <c r="C3805" s="10" t="s">
        <v>3378</v>
      </c>
      <c r="D3805" s="10" t="s">
        <v>3746</v>
      </c>
      <c r="E3805" s="10" t="str">
        <f>"644020240517210745185961"</f>
        <v>644020240517210745185961</v>
      </c>
      <c r="F3805" s="9"/>
    </row>
    <row r="3806" s="2" customFormat="1" ht="30" customHeight="1" spans="1:6">
      <c r="A3806" s="9">
        <v>3803</v>
      </c>
      <c r="B3806" s="10" t="s">
        <v>3377</v>
      </c>
      <c r="C3806" s="10" t="s">
        <v>3378</v>
      </c>
      <c r="D3806" s="10" t="s">
        <v>3747</v>
      </c>
      <c r="E3806" s="10" t="str">
        <f>"644020240517163200185652"</f>
        <v>644020240517163200185652</v>
      </c>
      <c r="F3806" s="9"/>
    </row>
    <row r="3807" s="2" customFormat="1" ht="30" customHeight="1" spans="1:6">
      <c r="A3807" s="9">
        <v>3804</v>
      </c>
      <c r="B3807" s="10" t="s">
        <v>3377</v>
      </c>
      <c r="C3807" s="10" t="s">
        <v>3378</v>
      </c>
      <c r="D3807" s="10" t="s">
        <v>3748</v>
      </c>
      <c r="E3807" s="10" t="str">
        <f>"644020240517162353185640"</f>
        <v>644020240517162353185640</v>
      </c>
      <c r="F3807" s="9"/>
    </row>
    <row r="3808" s="2" customFormat="1" ht="30" customHeight="1" spans="1:6">
      <c r="A3808" s="9">
        <v>3805</v>
      </c>
      <c r="B3808" s="10" t="s">
        <v>3377</v>
      </c>
      <c r="C3808" s="10" t="s">
        <v>3378</v>
      </c>
      <c r="D3808" s="10" t="s">
        <v>476</v>
      </c>
      <c r="E3808" s="10" t="str">
        <f>"644020240517212829185994"</f>
        <v>644020240517212829185994</v>
      </c>
      <c r="F3808" s="9"/>
    </row>
    <row r="3809" s="2" customFormat="1" ht="30" customHeight="1" spans="1:6">
      <c r="A3809" s="9">
        <v>3806</v>
      </c>
      <c r="B3809" s="10" t="s">
        <v>3377</v>
      </c>
      <c r="C3809" s="10" t="s">
        <v>3378</v>
      </c>
      <c r="D3809" s="10" t="s">
        <v>3749</v>
      </c>
      <c r="E3809" s="10" t="str">
        <f>"644020240513213038177094"</f>
        <v>644020240513213038177094</v>
      </c>
      <c r="F3809" s="9"/>
    </row>
    <row r="3810" s="2" customFormat="1" ht="30" customHeight="1" spans="1:6">
      <c r="A3810" s="9">
        <v>3807</v>
      </c>
      <c r="B3810" s="10" t="s">
        <v>3377</v>
      </c>
      <c r="C3810" s="10" t="s">
        <v>3378</v>
      </c>
      <c r="D3810" s="10" t="s">
        <v>3750</v>
      </c>
      <c r="E3810" s="10" t="str">
        <f>"644020240517214937186032"</f>
        <v>644020240517214937186032</v>
      </c>
      <c r="F3810" s="9"/>
    </row>
    <row r="3811" s="2" customFormat="1" ht="30" customHeight="1" spans="1:6">
      <c r="A3811" s="9">
        <v>3808</v>
      </c>
      <c r="B3811" s="10" t="s">
        <v>3377</v>
      </c>
      <c r="C3811" s="10" t="s">
        <v>3378</v>
      </c>
      <c r="D3811" s="10" t="s">
        <v>3751</v>
      </c>
      <c r="E3811" s="10" t="str">
        <f>"644020240517122511185119"</f>
        <v>644020240517122511185119</v>
      </c>
      <c r="F3811" s="9"/>
    </row>
    <row r="3812" s="2" customFormat="1" ht="30" customHeight="1" spans="1:6">
      <c r="A3812" s="9">
        <v>3809</v>
      </c>
      <c r="B3812" s="10" t="s">
        <v>3377</v>
      </c>
      <c r="C3812" s="10" t="s">
        <v>3378</v>
      </c>
      <c r="D3812" s="10" t="s">
        <v>3752</v>
      </c>
      <c r="E3812" s="10" t="str">
        <f>"644020240515103132181053"</f>
        <v>644020240515103132181053</v>
      </c>
      <c r="F3812" s="9"/>
    </row>
    <row r="3813" s="2" customFormat="1" ht="30" customHeight="1" spans="1:6">
      <c r="A3813" s="9">
        <v>3810</v>
      </c>
      <c r="B3813" s="10" t="s">
        <v>3377</v>
      </c>
      <c r="C3813" s="10" t="s">
        <v>3378</v>
      </c>
      <c r="D3813" s="10" t="s">
        <v>3753</v>
      </c>
      <c r="E3813" s="10" t="str">
        <f>"644020240517185738185865"</f>
        <v>644020240517185738185865</v>
      </c>
      <c r="F3813" s="9"/>
    </row>
    <row r="3814" s="2" customFormat="1" ht="30" customHeight="1" spans="1:6">
      <c r="A3814" s="9">
        <v>3811</v>
      </c>
      <c r="B3814" s="10" t="s">
        <v>3377</v>
      </c>
      <c r="C3814" s="10" t="s">
        <v>3378</v>
      </c>
      <c r="D3814" s="10" t="s">
        <v>3754</v>
      </c>
      <c r="E3814" s="10" t="str">
        <f>"644020240512165723170099"</f>
        <v>644020240512165723170099</v>
      </c>
      <c r="F3814" s="9"/>
    </row>
    <row r="3815" s="2" customFormat="1" ht="30" customHeight="1" spans="1:6">
      <c r="A3815" s="9">
        <v>3812</v>
      </c>
      <c r="B3815" s="10" t="s">
        <v>3377</v>
      </c>
      <c r="C3815" s="10" t="s">
        <v>3378</v>
      </c>
      <c r="D3815" s="10" t="s">
        <v>3755</v>
      </c>
      <c r="E3815" s="10" t="str">
        <f>"644020240516191518183995"</f>
        <v>644020240516191518183995</v>
      </c>
      <c r="F3815" s="9"/>
    </row>
    <row r="3816" s="2" customFormat="1" ht="30" customHeight="1" spans="1:6">
      <c r="A3816" s="9">
        <v>3813</v>
      </c>
      <c r="B3816" s="10" t="s">
        <v>3377</v>
      </c>
      <c r="C3816" s="10" t="s">
        <v>3378</v>
      </c>
      <c r="D3816" s="10" t="s">
        <v>3756</v>
      </c>
      <c r="E3816" s="10" t="str">
        <f>"644020240514112523178700"</f>
        <v>644020240514112523178700</v>
      </c>
      <c r="F3816" s="9"/>
    </row>
    <row r="3817" s="2" customFormat="1" ht="30" customHeight="1" spans="1:6">
      <c r="A3817" s="9">
        <v>3814</v>
      </c>
      <c r="B3817" s="10" t="s">
        <v>3377</v>
      </c>
      <c r="C3817" s="10" t="s">
        <v>3378</v>
      </c>
      <c r="D3817" s="10" t="s">
        <v>3757</v>
      </c>
      <c r="E3817" s="10" t="str">
        <f>"644020240512175753170299"</f>
        <v>644020240512175753170299</v>
      </c>
      <c r="F3817" s="9"/>
    </row>
    <row r="3818" s="2" customFormat="1" ht="30" customHeight="1" spans="1:6">
      <c r="A3818" s="9">
        <v>3815</v>
      </c>
      <c r="B3818" s="10" t="s">
        <v>3377</v>
      </c>
      <c r="C3818" s="10" t="s">
        <v>3378</v>
      </c>
      <c r="D3818" s="10" t="s">
        <v>3758</v>
      </c>
      <c r="E3818" s="10" t="str">
        <f>"644020240517184949185857"</f>
        <v>644020240517184949185857</v>
      </c>
      <c r="F3818" s="9"/>
    </row>
    <row r="3819" s="2" customFormat="1" ht="30" customHeight="1" spans="1:6">
      <c r="A3819" s="9">
        <v>3816</v>
      </c>
      <c r="B3819" s="10" t="s">
        <v>3377</v>
      </c>
      <c r="C3819" s="10" t="s">
        <v>3378</v>
      </c>
      <c r="D3819" s="10" t="s">
        <v>3759</v>
      </c>
      <c r="E3819" s="10" t="str">
        <f>"644020240517145221185404"</f>
        <v>644020240517145221185404</v>
      </c>
      <c r="F3819" s="9"/>
    </row>
    <row r="3820" s="2" customFormat="1" ht="30" customHeight="1" spans="1:6">
      <c r="A3820" s="9">
        <v>3817</v>
      </c>
      <c r="B3820" s="10" t="s">
        <v>3377</v>
      </c>
      <c r="C3820" s="10" t="s">
        <v>3378</v>
      </c>
      <c r="D3820" s="10" t="s">
        <v>3760</v>
      </c>
      <c r="E3820" s="10" t="str">
        <f>"644020240514080825177813"</f>
        <v>644020240514080825177813</v>
      </c>
      <c r="F3820" s="9"/>
    </row>
    <row r="3821" s="2" customFormat="1" ht="30" customHeight="1" spans="1:6">
      <c r="A3821" s="9">
        <v>3818</v>
      </c>
      <c r="B3821" s="10" t="s">
        <v>3377</v>
      </c>
      <c r="C3821" s="10" t="s">
        <v>3378</v>
      </c>
      <c r="D3821" s="10" t="s">
        <v>3761</v>
      </c>
      <c r="E3821" s="10" t="str">
        <f>"644020240513232425177566"</f>
        <v>644020240513232425177566</v>
      </c>
      <c r="F3821" s="9"/>
    </row>
    <row r="3822" s="2" customFormat="1" ht="30" customHeight="1" spans="1:6">
      <c r="A3822" s="9">
        <v>3819</v>
      </c>
      <c r="B3822" s="10" t="s">
        <v>3377</v>
      </c>
      <c r="C3822" s="10" t="s">
        <v>3378</v>
      </c>
      <c r="D3822" s="10" t="s">
        <v>3762</v>
      </c>
      <c r="E3822" s="10" t="str">
        <f>"644020240517234046186120"</f>
        <v>644020240517234046186120</v>
      </c>
      <c r="F3822" s="9"/>
    </row>
    <row r="3823" s="2" customFormat="1" ht="30" customHeight="1" spans="1:6">
      <c r="A3823" s="9">
        <v>3820</v>
      </c>
      <c r="B3823" s="10" t="s">
        <v>3377</v>
      </c>
      <c r="C3823" s="10" t="s">
        <v>3378</v>
      </c>
      <c r="D3823" s="10" t="s">
        <v>3763</v>
      </c>
      <c r="E3823" s="10" t="str">
        <f>"644020240517232759186100"</f>
        <v>644020240517232759186100</v>
      </c>
      <c r="F3823" s="9"/>
    </row>
    <row r="3824" s="2" customFormat="1" ht="30" customHeight="1" spans="1:6">
      <c r="A3824" s="9">
        <v>3821</v>
      </c>
      <c r="B3824" s="10" t="s">
        <v>3377</v>
      </c>
      <c r="C3824" s="10" t="s">
        <v>3378</v>
      </c>
      <c r="D3824" s="10" t="s">
        <v>3764</v>
      </c>
      <c r="E3824" s="10" t="str">
        <f>"644020240518013237186254"</f>
        <v>644020240518013237186254</v>
      </c>
      <c r="F3824" s="9"/>
    </row>
    <row r="3825" s="2" customFormat="1" ht="30" customHeight="1" spans="1:6">
      <c r="A3825" s="9">
        <v>3822</v>
      </c>
      <c r="B3825" s="10" t="s">
        <v>3377</v>
      </c>
      <c r="C3825" s="10" t="s">
        <v>3378</v>
      </c>
      <c r="D3825" s="10" t="s">
        <v>3765</v>
      </c>
      <c r="E3825" s="10" t="str">
        <f>"644020240518013852186256"</f>
        <v>644020240518013852186256</v>
      </c>
      <c r="F3825" s="9"/>
    </row>
    <row r="3826" s="2" customFormat="1" ht="30" customHeight="1" spans="1:6">
      <c r="A3826" s="9">
        <v>3823</v>
      </c>
      <c r="B3826" s="10" t="s">
        <v>3377</v>
      </c>
      <c r="C3826" s="10" t="s">
        <v>3378</v>
      </c>
      <c r="D3826" s="10" t="s">
        <v>3766</v>
      </c>
      <c r="E3826" s="10" t="str">
        <f>"644020240518020113186270"</f>
        <v>644020240518020113186270</v>
      </c>
      <c r="F3826" s="9"/>
    </row>
    <row r="3827" s="2" customFormat="1" ht="30" customHeight="1" spans="1:6">
      <c r="A3827" s="9">
        <v>3824</v>
      </c>
      <c r="B3827" s="10" t="s">
        <v>3377</v>
      </c>
      <c r="C3827" s="10" t="s">
        <v>3378</v>
      </c>
      <c r="D3827" s="10" t="s">
        <v>3767</v>
      </c>
      <c r="E3827" s="10" t="str">
        <f>"644020240518090051186442"</f>
        <v>644020240518090051186442</v>
      </c>
      <c r="F3827" s="9"/>
    </row>
    <row r="3828" s="2" customFormat="1" ht="30" customHeight="1" spans="1:6">
      <c r="A3828" s="9">
        <v>3825</v>
      </c>
      <c r="B3828" s="10" t="s">
        <v>3377</v>
      </c>
      <c r="C3828" s="10" t="s">
        <v>3378</v>
      </c>
      <c r="D3828" s="10" t="s">
        <v>3768</v>
      </c>
      <c r="E3828" s="10" t="str">
        <f>"644020240517215432186038"</f>
        <v>644020240517215432186038</v>
      </c>
      <c r="F3828" s="9"/>
    </row>
    <row r="3829" s="2" customFormat="1" ht="30" customHeight="1" spans="1:6">
      <c r="A3829" s="9">
        <v>3826</v>
      </c>
      <c r="B3829" s="10" t="s">
        <v>3377</v>
      </c>
      <c r="C3829" s="10" t="s">
        <v>3378</v>
      </c>
      <c r="D3829" s="10" t="s">
        <v>3769</v>
      </c>
      <c r="E3829" s="10" t="str">
        <f>"644020240517120331185082"</f>
        <v>644020240517120331185082</v>
      </c>
      <c r="F3829" s="9"/>
    </row>
    <row r="3830" s="2" customFormat="1" ht="30" customHeight="1" spans="1:6">
      <c r="A3830" s="9">
        <v>3827</v>
      </c>
      <c r="B3830" s="10" t="s">
        <v>3377</v>
      </c>
      <c r="C3830" s="10" t="s">
        <v>3378</v>
      </c>
      <c r="D3830" s="10" t="s">
        <v>807</v>
      </c>
      <c r="E3830" s="10" t="str">
        <f>"644020240517184244185848"</f>
        <v>644020240517184244185848</v>
      </c>
      <c r="F3830" s="9"/>
    </row>
    <row r="3831" s="2" customFormat="1" ht="30" customHeight="1" spans="1:6">
      <c r="A3831" s="9">
        <v>3828</v>
      </c>
      <c r="B3831" s="10" t="s">
        <v>3377</v>
      </c>
      <c r="C3831" s="10" t="s">
        <v>3378</v>
      </c>
      <c r="D3831" s="10" t="s">
        <v>3770</v>
      </c>
      <c r="E3831" s="10" t="str">
        <f>"644020240514000105177641"</f>
        <v>644020240514000105177641</v>
      </c>
      <c r="F3831" s="9"/>
    </row>
    <row r="3832" s="2" customFormat="1" ht="30" customHeight="1" spans="1:6">
      <c r="A3832" s="9">
        <v>3829</v>
      </c>
      <c r="B3832" s="10" t="s">
        <v>3377</v>
      </c>
      <c r="C3832" s="10" t="s">
        <v>3378</v>
      </c>
      <c r="D3832" s="10" t="s">
        <v>3771</v>
      </c>
      <c r="E3832" s="10" t="str">
        <f>"644020240518094153186528"</f>
        <v>644020240518094153186528</v>
      </c>
      <c r="F3832" s="9"/>
    </row>
    <row r="3833" s="2" customFormat="1" ht="30" customHeight="1" spans="1:6">
      <c r="A3833" s="9">
        <v>3830</v>
      </c>
      <c r="B3833" s="10" t="s">
        <v>3377</v>
      </c>
      <c r="C3833" s="10" t="s">
        <v>3378</v>
      </c>
      <c r="D3833" s="10" t="s">
        <v>3772</v>
      </c>
      <c r="E3833" s="10" t="str">
        <f>"644020240518080045186363"</f>
        <v>644020240518080045186363</v>
      </c>
      <c r="F3833" s="9"/>
    </row>
    <row r="3834" s="2" customFormat="1" ht="30" customHeight="1" spans="1:6">
      <c r="A3834" s="9">
        <v>3831</v>
      </c>
      <c r="B3834" s="10" t="s">
        <v>3377</v>
      </c>
      <c r="C3834" s="10" t="s">
        <v>3378</v>
      </c>
      <c r="D3834" s="10" t="s">
        <v>3773</v>
      </c>
      <c r="E3834" s="10" t="str">
        <f>"644020240513155614175750"</f>
        <v>644020240513155614175750</v>
      </c>
      <c r="F3834" s="9"/>
    </row>
    <row r="3835" s="2" customFormat="1" ht="30" customHeight="1" spans="1:6">
      <c r="A3835" s="9">
        <v>3832</v>
      </c>
      <c r="B3835" s="10" t="s">
        <v>3377</v>
      </c>
      <c r="C3835" s="10" t="s">
        <v>3378</v>
      </c>
      <c r="D3835" s="10" t="s">
        <v>3774</v>
      </c>
      <c r="E3835" s="10" t="str">
        <f>"644020240518101456186602"</f>
        <v>644020240518101456186602</v>
      </c>
      <c r="F3835" s="9"/>
    </row>
    <row r="3836" s="2" customFormat="1" ht="30" customHeight="1" spans="1:6">
      <c r="A3836" s="9">
        <v>3833</v>
      </c>
      <c r="B3836" s="10" t="s">
        <v>3377</v>
      </c>
      <c r="C3836" s="10" t="s">
        <v>3378</v>
      </c>
      <c r="D3836" s="10" t="s">
        <v>3775</v>
      </c>
      <c r="E3836" s="10" t="str">
        <f>"644020240518104921186698"</f>
        <v>644020240518104921186698</v>
      </c>
      <c r="F3836" s="9"/>
    </row>
    <row r="3837" s="2" customFormat="1" ht="30" customHeight="1" spans="1:6">
      <c r="A3837" s="9">
        <v>3834</v>
      </c>
      <c r="B3837" s="10" t="s">
        <v>3377</v>
      </c>
      <c r="C3837" s="10" t="s">
        <v>3378</v>
      </c>
      <c r="D3837" s="10" t="s">
        <v>3776</v>
      </c>
      <c r="E3837" s="10" t="str">
        <f>"644020240518090539186456"</f>
        <v>644020240518090539186456</v>
      </c>
      <c r="F3837" s="9"/>
    </row>
    <row r="3838" s="2" customFormat="1" ht="30" customHeight="1" spans="1:6">
      <c r="A3838" s="9">
        <v>3835</v>
      </c>
      <c r="B3838" s="10" t="s">
        <v>3377</v>
      </c>
      <c r="C3838" s="10" t="s">
        <v>3378</v>
      </c>
      <c r="D3838" s="10" t="s">
        <v>3777</v>
      </c>
      <c r="E3838" s="10" t="str">
        <f>"644020240518101723186612"</f>
        <v>644020240518101723186612</v>
      </c>
      <c r="F3838" s="9"/>
    </row>
    <row r="3839" s="2" customFormat="1" ht="30" customHeight="1" spans="1:6">
      <c r="A3839" s="9">
        <v>3836</v>
      </c>
      <c r="B3839" s="10" t="s">
        <v>3377</v>
      </c>
      <c r="C3839" s="10" t="s">
        <v>3378</v>
      </c>
      <c r="D3839" s="10" t="s">
        <v>3778</v>
      </c>
      <c r="E3839" s="10" t="str">
        <f>"644020240518093231186508"</f>
        <v>644020240518093231186508</v>
      </c>
      <c r="F3839" s="9"/>
    </row>
    <row r="3840" s="2" customFormat="1" ht="30" customHeight="1" spans="1:6">
      <c r="A3840" s="9">
        <v>3837</v>
      </c>
      <c r="B3840" s="10" t="s">
        <v>3779</v>
      </c>
      <c r="C3840" s="10" t="s">
        <v>3780</v>
      </c>
      <c r="D3840" s="10" t="s">
        <v>3781</v>
      </c>
      <c r="E3840" s="10" t="str">
        <f>"644020240512094304168295"</f>
        <v>644020240512094304168295</v>
      </c>
      <c r="F3840" s="9"/>
    </row>
    <row r="3841" s="2" customFormat="1" ht="30" customHeight="1" spans="1:6">
      <c r="A3841" s="9">
        <v>3838</v>
      </c>
      <c r="B3841" s="10" t="s">
        <v>3779</v>
      </c>
      <c r="C3841" s="10" t="s">
        <v>3780</v>
      </c>
      <c r="D3841" s="10" t="s">
        <v>3782</v>
      </c>
      <c r="E3841" s="10" t="str">
        <f>"644020240512092242168207"</f>
        <v>644020240512092242168207</v>
      </c>
      <c r="F3841" s="9"/>
    </row>
    <row r="3842" s="2" customFormat="1" ht="30" customHeight="1" spans="1:6">
      <c r="A3842" s="9">
        <v>3839</v>
      </c>
      <c r="B3842" s="10" t="s">
        <v>3779</v>
      </c>
      <c r="C3842" s="10" t="s">
        <v>3780</v>
      </c>
      <c r="D3842" s="10" t="s">
        <v>3783</v>
      </c>
      <c r="E3842" s="10" t="str">
        <f>"644020240512101128168454"</f>
        <v>644020240512101128168454</v>
      </c>
      <c r="F3842" s="9"/>
    </row>
    <row r="3843" s="2" customFormat="1" ht="30" customHeight="1" spans="1:6">
      <c r="A3843" s="9">
        <v>3840</v>
      </c>
      <c r="B3843" s="10" t="s">
        <v>3779</v>
      </c>
      <c r="C3843" s="10" t="s">
        <v>3780</v>
      </c>
      <c r="D3843" s="10" t="s">
        <v>3784</v>
      </c>
      <c r="E3843" s="10" t="str">
        <f>"644020240512095806168371"</f>
        <v>644020240512095806168371</v>
      </c>
      <c r="F3843" s="9"/>
    </row>
    <row r="3844" s="2" customFormat="1" ht="30" customHeight="1" spans="1:6">
      <c r="A3844" s="9">
        <v>3841</v>
      </c>
      <c r="B3844" s="10" t="s">
        <v>3779</v>
      </c>
      <c r="C3844" s="10" t="s">
        <v>3780</v>
      </c>
      <c r="D3844" s="10" t="s">
        <v>3785</v>
      </c>
      <c r="E3844" s="10" t="str">
        <f>"644020240512100951168443"</f>
        <v>644020240512100951168443</v>
      </c>
      <c r="F3844" s="9"/>
    </row>
    <row r="3845" s="2" customFormat="1" ht="30" customHeight="1" spans="1:6">
      <c r="A3845" s="9">
        <v>3842</v>
      </c>
      <c r="B3845" s="10" t="s">
        <v>3779</v>
      </c>
      <c r="C3845" s="10" t="s">
        <v>3780</v>
      </c>
      <c r="D3845" s="10" t="s">
        <v>3786</v>
      </c>
      <c r="E3845" s="10" t="str">
        <f>"644020240512100416168408"</f>
        <v>644020240512100416168408</v>
      </c>
      <c r="F3845" s="9"/>
    </row>
    <row r="3846" s="2" customFormat="1" ht="30" customHeight="1" spans="1:6">
      <c r="A3846" s="9">
        <v>3843</v>
      </c>
      <c r="B3846" s="10" t="s">
        <v>3779</v>
      </c>
      <c r="C3846" s="10" t="s">
        <v>3780</v>
      </c>
      <c r="D3846" s="10" t="s">
        <v>3787</v>
      </c>
      <c r="E3846" s="10" t="str">
        <f>"644020240512091839168190"</f>
        <v>644020240512091839168190</v>
      </c>
      <c r="F3846" s="9"/>
    </row>
    <row r="3847" s="2" customFormat="1" ht="30" customHeight="1" spans="1:6">
      <c r="A3847" s="9">
        <v>3844</v>
      </c>
      <c r="B3847" s="10" t="s">
        <v>3779</v>
      </c>
      <c r="C3847" s="10" t="s">
        <v>3780</v>
      </c>
      <c r="D3847" s="10" t="s">
        <v>3788</v>
      </c>
      <c r="E3847" s="10" t="str">
        <f>"644020240512090954168139"</f>
        <v>644020240512090954168139</v>
      </c>
      <c r="F3847" s="9"/>
    </row>
    <row r="3848" s="2" customFormat="1" ht="30" customHeight="1" spans="1:6">
      <c r="A3848" s="9">
        <v>3845</v>
      </c>
      <c r="B3848" s="10" t="s">
        <v>3779</v>
      </c>
      <c r="C3848" s="10" t="s">
        <v>3780</v>
      </c>
      <c r="D3848" s="10" t="s">
        <v>3789</v>
      </c>
      <c r="E3848" s="10" t="str">
        <f>"644020240512092417168215"</f>
        <v>644020240512092417168215</v>
      </c>
      <c r="F3848" s="9"/>
    </row>
    <row r="3849" s="2" customFormat="1" ht="30" customHeight="1" spans="1:6">
      <c r="A3849" s="9">
        <v>3846</v>
      </c>
      <c r="B3849" s="10" t="s">
        <v>3779</v>
      </c>
      <c r="C3849" s="10" t="s">
        <v>3780</v>
      </c>
      <c r="D3849" s="10" t="s">
        <v>3790</v>
      </c>
      <c r="E3849" s="10" t="str">
        <f>"644020240512104753168661"</f>
        <v>644020240512104753168661</v>
      </c>
      <c r="F3849" s="9"/>
    </row>
    <row r="3850" s="2" customFormat="1" ht="30" customHeight="1" spans="1:6">
      <c r="A3850" s="9">
        <v>3847</v>
      </c>
      <c r="B3850" s="10" t="s">
        <v>3779</v>
      </c>
      <c r="C3850" s="10" t="s">
        <v>3780</v>
      </c>
      <c r="D3850" s="10" t="s">
        <v>3791</v>
      </c>
      <c r="E3850" s="10" t="str">
        <f>"644020240512103848168613"</f>
        <v>644020240512103848168613</v>
      </c>
      <c r="F3850" s="9"/>
    </row>
    <row r="3851" s="2" customFormat="1" ht="30" customHeight="1" spans="1:6">
      <c r="A3851" s="9">
        <v>3848</v>
      </c>
      <c r="B3851" s="10" t="s">
        <v>3779</v>
      </c>
      <c r="C3851" s="10" t="s">
        <v>3780</v>
      </c>
      <c r="D3851" s="10" t="s">
        <v>3792</v>
      </c>
      <c r="E3851" s="10" t="str">
        <f>"644020240512110006168722"</f>
        <v>644020240512110006168722</v>
      </c>
      <c r="F3851" s="9"/>
    </row>
    <row r="3852" s="2" customFormat="1" ht="30" customHeight="1" spans="1:6">
      <c r="A3852" s="9">
        <v>3849</v>
      </c>
      <c r="B3852" s="10" t="s">
        <v>3779</v>
      </c>
      <c r="C3852" s="10" t="s">
        <v>3780</v>
      </c>
      <c r="D3852" s="10" t="s">
        <v>3793</v>
      </c>
      <c r="E3852" s="10" t="str">
        <f>"644020240512093319168256"</f>
        <v>644020240512093319168256</v>
      </c>
      <c r="F3852" s="9"/>
    </row>
    <row r="3853" s="2" customFormat="1" ht="30" customHeight="1" spans="1:6">
      <c r="A3853" s="9">
        <v>3850</v>
      </c>
      <c r="B3853" s="10" t="s">
        <v>3779</v>
      </c>
      <c r="C3853" s="10" t="s">
        <v>3780</v>
      </c>
      <c r="D3853" s="10" t="s">
        <v>3794</v>
      </c>
      <c r="E3853" s="10" t="str">
        <f>"644020240512111826168822"</f>
        <v>644020240512111826168822</v>
      </c>
      <c r="F3853" s="9"/>
    </row>
    <row r="3854" s="2" customFormat="1" ht="30" customHeight="1" spans="1:6">
      <c r="A3854" s="9">
        <v>3851</v>
      </c>
      <c r="B3854" s="10" t="s">
        <v>3779</v>
      </c>
      <c r="C3854" s="10" t="s">
        <v>3780</v>
      </c>
      <c r="D3854" s="10" t="s">
        <v>3795</v>
      </c>
      <c r="E3854" s="10" t="str">
        <f>"644020240512103038168566"</f>
        <v>644020240512103038168566</v>
      </c>
      <c r="F3854" s="9"/>
    </row>
    <row r="3855" s="2" customFormat="1" ht="30" customHeight="1" spans="1:6">
      <c r="A3855" s="9">
        <v>3852</v>
      </c>
      <c r="B3855" s="10" t="s">
        <v>3779</v>
      </c>
      <c r="C3855" s="10" t="s">
        <v>3780</v>
      </c>
      <c r="D3855" s="10" t="s">
        <v>3796</v>
      </c>
      <c r="E3855" s="10" t="str">
        <f>"644020240512112441168857"</f>
        <v>644020240512112441168857</v>
      </c>
      <c r="F3855" s="9"/>
    </row>
    <row r="3856" s="2" customFormat="1" ht="30" customHeight="1" spans="1:6">
      <c r="A3856" s="9">
        <v>3853</v>
      </c>
      <c r="B3856" s="10" t="s">
        <v>3779</v>
      </c>
      <c r="C3856" s="10" t="s">
        <v>3780</v>
      </c>
      <c r="D3856" s="10" t="s">
        <v>3797</v>
      </c>
      <c r="E3856" s="10" t="str">
        <f>"644020240512093608168272"</f>
        <v>644020240512093608168272</v>
      </c>
      <c r="F3856" s="9"/>
    </row>
    <row r="3857" s="2" customFormat="1" ht="30" customHeight="1" spans="1:6">
      <c r="A3857" s="9">
        <v>3854</v>
      </c>
      <c r="B3857" s="10" t="s">
        <v>3779</v>
      </c>
      <c r="C3857" s="10" t="s">
        <v>3780</v>
      </c>
      <c r="D3857" s="10" t="s">
        <v>3798</v>
      </c>
      <c r="E3857" s="10" t="str">
        <f>"644020240512113305168898"</f>
        <v>644020240512113305168898</v>
      </c>
      <c r="F3857" s="9"/>
    </row>
    <row r="3858" s="2" customFormat="1" ht="30" customHeight="1" spans="1:6">
      <c r="A3858" s="9">
        <v>3855</v>
      </c>
      <c r="B3858" s="10" t="s">
        <v>3779</v>
      </c>
      <c r="C3858" s="10" t="s">
        <v>3780</v>
      </c>
      <c r="D3858" s="10" t="s">
        <v>3799</v>
      </c>
      <c r="E3858" s="10" t="str">
        <f>"644020240512103146168572"</f>
        <v>644020240512103146168572</v>
      </c>
      <c r="F3858" s="9"/>
    </row>
    <row r="3859" s="2" customFormat="1" ht="30" customHeight="1" spans="1:6">
      <c r="A3859" s="9">
        <v>3856</v>
      </c>
      <c r="B3859" s="10" t="s">
        <v>3779</v>
      </c>
      <c r="C3859" s="10" t="s">
        <v>3780</v>
      </c>
      <c r="D3859" s="10" t="s">
        <v>3800</v>
      </c>
      <c r="E3859" s="10" t="str">
        <f>"644020240512090609168117"</f>
        <v>644020240512090609168117</v>
      </c>
      <c r="F3859" s="9"/>
    </row>
    <row r="3860" s="2" customFormat="1" ht="30" customHeight="1" spans="1:6">
      <c r="A3860" s="9">
        <v>3857</v>
      </c>
      <c r="B3860" s="10" t="s">
        <v>3779</v>
      </c>
      <c r="C3860" s="10" t="s">
        <v>3780</v>
      </c>
      <c r="D3860" s="10" t="s">
        <v>3801</v>
      </c>
      <c r="E3860" s="10" t="str">
        <f>"644020240512113844168930"</f>
        <v>644020240512113844168930</v>
      </c>
      <c r="F3860" s="9"/>
    </row>
    <row r="3861" s="2" customFormat="1" ht="30" customHeight="1" spans="1:6">
      <c r="A3861" s="9">
        <v>3858</v>
      </c>
      <c r="B3861" s="10" t="s">
        <v>3779</v>
      </c>
      <c r="C3861" s="10" t="s">
        <v>3780</v>
      </c>
      <c r="D3861" s="10" t="s">
        <v>3802</v>
      </c>
      <c r="E3861" s="10" t="str">
        <f>"644020240512113152168893"</f>
        <v>644020240512113152168893</v>
      </c>
      <c r="F3861" s="9"/>
    </row>
    <row r="3862" s="2" customFormat="1" ht="30" customHeight="1" spans="1:6">
      <c r="A3862" s="9">
        <v>3859</v>
      </c>
      <c r="B3862" s="10" t="s">
        <v>3779</v>
      </c>
      <c r="C3862" s="10" t="s">
        <v>3780</v>
      </c>
      <c r="D3862" s="10" t="s">
        <v>3803</v>
      </c>
      <c r="E3862" s="10" t="str">
        <f>"644020240512090657168124"</f>
        <v>644020240512090657168124</v>
      </c>
      <c r="F3862" s="9"/>
    </row>
    <row r="3863" s="2" customFormat="1" ht="30" customHeight="1" spans="1:6">
      <c r="A3863" s="9">
        <v>3860</v>
      </c>
      <c r="B3863" s="10" t="s">
        <v>3779</v>
      </c>
      <c r="C3863" s="10" t="s">
        <v>3780</v>
      </c>
      <c r="D3863" s="10" t="s">
        <v>3804</v>
      </c>
      <c r="E3863" s="10" t="str">
        <f>"644020240512115327168981"</f>
        <v>644020240512115327168981</v>
      </c>
      <c r="F3863" s="9"/>
    </row>
    <row r="3864" s="2" customFormat="1" ht="30" customHeight="1" spans="1:6">
      <c r="A3864" s="9">
        <v>3861</v>
      </c>
      <c r="B3864" s="10" t="s">
        <v>3779</v>
      </c>
      <c r="C3864" s="10" t="s">
        <v>3780</v>
      </c>
      <c r="D3864" s="10" t="s">
        <v>3805</v>
      </c>
      <c r="E3864" s="10" t="str">
        <f>"644020240512112820168874"</f>
        <v>644020240512112820168874</v>
      </c>
      <c r="F3864" s="9"/>
    </row>
    <row r="3865" s="2" customFormat="1" ht="30" customHeight="1" spans="1:6">
      <c r="A3865" s="9">
        <v>3862</v>
      </c>
      <c r="B3865" s="10" t="s">
        <v>3779</v>
      </c>
      <c r="C3865" s="10" t="s">
        <v>3780</v>
      </c>
      <c r="D3865" s="10" t="s">
        <v>3806</v>
      </c>
      <c r="E3865" s="10" t="str">
        <f>"644020240512123147169126"</f>
        <v>644020240512123147169126</v>
      </c>
      <c r="F3865" s="9"/>
    </row>
    <row r="3866" s="2" customFormat="1" ht="30" customHeight="1" spans="1:6">
      <c r="A3866" s="9">
        <v>3863</v>
      </c>
      <c r="B3866" s="10" t="s">
        <v>3779</v>
      </c>
      <c r="C3866" s="10" t="s">
        <v>3780</v>
      </c>
      <c r="D3866" s="10" t="s">
        <v>3807</v>
      </c>
      <c r="E3866" s="10" t="str">
        <f>"644020240512094308168296"</f>
        <v>644020240512094308168296</v>
      </c>
      <c r="F3866" s="9"/>
    </row>
    <row r="3867" s="2" customFormat="1" ht="30" customHeight="1" spans="1:6">
      <c r="A3867" s="9">
        <v>3864</v>
      </c>
      <c r="B3867" s="10" t="s">
        <v>3779</v>
      </c>
      <c r="C3867" s="10" t="s">
        <v>3780</v>
      </c>
      <c r="D3867" s="10" t="s">
        <v>3808</v>
      </c>
      <c r="E3867" s="10" t="str">
        <f>"644020240512122437169100"</f>
        <v>644020240512122437169100</v>
      </c>
      <c r="F3867" s="9"/>
    </row>
    <row r="3868" s="2" customFormat="1" ht="30" customHeight="1" spans="1:6">
      <c r="A3868" s="9">
        <v>3865</v>
      </c>
      <c r="B3868" s="10" t="s">
        <v>3779</v>
      </c>
      <c r="C3868" s="10" t="s">
        <v>3780</v>
      </c>
      <c r="D3868" s="10" t="s">
        <v>3809</v>
      </c>
      <c r="E3868" s="10" t="str">
        <f>"644020240512090726168126"</f>
        <v>644020240512090726168126</v>
      </c>
      <c r="F3868" s="9"/>
    </row>
    <row r="3869" s="2" customFormat="1" ht="30" customHeight="1" spans="1:6">
      <c r="A3869" s="9">
        <v>3866</v>
      </c>
      <c r="B3869" s="10" t="s">
        <v>3779</v>
      </c>
      <c r="C3869" s="10" t="s">
        <v>3780</v>
      </c>
      <c r="D3869" s="10" t="s">
        <v>3810</v>
      </c>
      <c r="E3869" s="10" t="str">
        <f>"644020240512123234169129"</f>
        <v>644020240512123234169129</v>
      </c>
      <c r="F3869" s="9"/>
    </row>
    <row r="3870" s="2" customFormat="1" ht="30" customHeight="1" spans="1:6">
      <c r="A3870" s="9">
        <v>3867</v>
      </c>
      <c r="B3870" s="10" t="s">
        <v>3779</v>
      </c>
      <c r="C3870" s="10" t="s">
        <v>3780</v>
      </c>
      <c r="D3870" s="10" t="s">
        <v>3811</v>
      </c>
      <c r="E3870" s="10" t="str">
        <f>"644020240512124256169177"</f>
        <v>644020240512124256169177</v>
      </c>
      <c r="F3870" s="9"/>
    </row>
    <row r="3871" s="2" customFormat="1" ht="30" customHeight="1" spans="1:6">
      <c r="A3871" s="9">
        <v>3868</v>
      </c>
      <c r="B3871" s="10" t="s">
        <v>3779</v>
      </c>
      <c r="C3871" s="10" t="s">
        <v>3780</v>
      </c>
      <c r="D3871" s="10" t="s">
        <v>3812</v>
      </c>
      <c r="E3871" s="10" t="str">
        <f>"644020240512123819169155"</f>
        <v>644020240512123819169155</v>
      </c>
      <c r="F3871" s="9"/>
    </row>
    <row r="3872" s="2" customFormat="1" ht="30" customHeight="1" spans="1:6">
      <c r="A3872" s="9">
        <v>3869</v>
      </c>
      <c r="B3872" s="10" t="s">
        <v>3779</v>
      </c>
      <c r="C3872" s="10" t="s">
        <v>3780</v>
      </c>
      <c r="D3872" s="10" t="s">
        <v>3813</v>
      </c>
      <c r="E3872" s="10" t="str">
        <f>"644020240512124319169179"</f>
        <v>644020240512124319169179</v>
      </c>
      <c r="F3872" s="9"/>
    </row>
    <row r="3873" s="2" customFormat="1" ht="30" customHeight="1" spans="1:6">
      <c r="A3873" s="9">
        <v>3870</v>
      </c>
      <c r="B3873" s="10" t="s">
        <v>3779</v>
      </c>
      <c r="C3873" s="10" t="s">
        <v>3780</v>
      </c>
      <c r="D3873" s="10" t="s">
        <v>2455</v>
      </c>
      <c r="E3873" s="10" t="str">
        <f>"644020240512115325168980"</f>
        <v>644020240512115325168980</v>
      </c>
      <c r="F3873" s="9"/>
    </row>
    <row r="3874" s="2" customFormat="1" ht="30" customHeight="1" spans="1:6">
      <c r="A3874" s="9">
        <v>3871</v>
      </c>
      <c r="B3874" s="10" t="s">
        <v>3779</v>
      </c>
      <c r="C3874" s="10" t="s">
        <v>3780</v>
      </c>
      <c r="D3874" s="10" t="s">
        <v>3814</v>
      </c>
      <c r="E3874" s="10" t="str">
        <f>"644020240512124407169188"</f>
        <v>644020240512124407169188</v>
      </c>
      <c r="F3874" s="9"/>
    </row>
    <row r="3875" s="2" customFormat="1" ht="30" customHeight="1" spans="1:6">
      <c r="A3875" s="9">
        <v>3872</v>
      </c>
      <c r="B3875" s="10" t="s">
        <v>3779</v>
      </c>
      <c r="C3875" s="10" t="s">
        <v>3780</v>
      </c>
      <c r="D3875" s="10" t="s">
        <v>3815</v>
      </c>
      <c r="E3875" s="10" t="str">
        <f>"644020240512130113169238"</f>
        <v>644020240512130113169238</v>
      </c>
      <c r="F3875" s="9"/>
    </row>
    <row r="3876" s="2" customFormat="1" ht="30" customHeight="1" spans="1:6">
      <c r="A3876" s="9">
        <v>3873</v>
      </c>
      <c r="B3876" s="10" t="s">
        <v>3779</v>
      </c>
      <c r="C3876" s="10" t="s">
        <v>3780</v>
      </c>
      <c r="D3876" s="10" t="s">
        <v>3816</v>
      </c>
      <c r="E3876" s="10" t="str">
        <f>"644020240512121413169063"</f>
        <v>644020240512121413169063</v>
      </c>
      <c r="F3876" s="9"/>
    </row>
    <row r="3877" s="2" customFormat="1" ht="30" customHeight="1" spans="1:6">
      <c r="A3877" s="9">
        <v>3874</v>
      </c>
      <c r="B3877" s="10" t="s">
        <v>3779</v>
      </c>
      <c r="C3877" s="10" t="s">
        <v>3780</v>
      </c>
      <c r="D3877" s="10" t="s">
        <v>3817</v>
      </c>
      <c r="E3877" s="10" t="str">
        <f>"644020240512124349169183"</f>
        <v>644020240512124349169183</v>
      </c>
      <c r="F3877" s="9"/>
    </row>
    <row r="3878" s="2" customFormat="1" ht="30" customHeight="1" spans="1:6">
      <c r="A3878" s="9">
        <v>3875</v>
      </c>
      <c r="B3878" s="10" t="s">
        <v>3779</v>
      </c>
      <c r="C3878" s="10" t="s">
        <v>3780</v>
      </c>
      <c r="D3878" s="10" t="s">
        <v>3818</v>
      </c>
      <c r="E3878" s="10" t="str">
        <f>"644020240512132649169347"</f>
        <v>644020240512132649169347</v>
      </c>
      <c r="F3878" s="9"/>
    </row>
    <row r="3879" s="2" customFormat="1" ht="30" customHeight="1" spans="1:6">
      <c r="A3879" s="9">
        <v>3876</v>
      </c>
      <c r="B3879" s="10" t="s">
        <v>3779</v>
      </c>
      <c r="C3879" s="10" t="s">
        <v>3780</v>
      </c>
      <c r="D3879" s="10" t="s">
        <v>3819</v>
      </c>
      <c r="E3879" s="10" t="str">
        <f>"644020240512134647169422"</f>
        <v>644020240512134647169422</v>
      </c>
      <c r="F3879" s="9"/>
    </row>
    <row r="3880" s="2" customFormat="1" ht="30" customHeight="1" spans="1:6">
      <c r="A3880" s="9">
        <v>3877</v>
      </c>
      <c r="B3880" s="10" t="s">
        <v>3779</v>
      </c>
      <c r="C3880" s="10" t="s">
        <v>3780</v>
      </c>
      <c r="D3880" s="10" t="s">
        <v>3820</v>
      </c>
      <c r="E3880" s="10" t="str">
        <f>"644020240512090151168099"</f>
        <v>644020240512090151168099</v>
      </c>
      <c r="F3880" s="9"/>
    </row>
    <row r="3881" s="2" customFormat="1" ht="30" customHeight="1" spans="1:6">
      <c r="A3881" s="9">
        <v>3878</v>
      </c>
      <c r="B3881" s="10" t="s">
        <v>3779</v>
      </c>
      <c r="C3881" s="10" t="s">
        <v>3780</v>
      </c>
      <c r="D3881" s="10" t="s">
        <v>3821</v>
      </c>
      <c r="E3881" s="10" t="str">
        <f>"644020240512135420169443"</f>
        <v>644020240512135420169443</v>
      </c>
      <c r="F3881" s="9"/>
    </row>
    <row r="3882" s="2" customFormat="1" ht="30" customHeight="1" spans="1:6">
      <c r="A3882" s="9">
        <v>3879</v>
      </c>
      <c r="B3882" s="10" t="s">
        <v>3779</v>
      </c>
      <c r="C3882" s="10" t="s">
        <v>3780</v>
      </c>
      <c r="D3882" s="10" t="s">
        <v>3822</v>
      </c>
      <c r="E3882" s="10" t="str">
        <f>"644020240512133307169370"</f>
        <v>644020240512133307169370</v>
      </c>
      <c r="F3882" s="9"/>
    </row>
    <row r="3883" s="2" customFormat="1" ht="30" customHeight="1" spans="1:6">
      <c r="A3883" s="9">
        <v>3880</v>
      </c>
      <c r="B3883" s="10" t="s">
        <v>3779</v>
      </c>
      <c r="C3883" s="10" t="s">
        <v>3780</v>
      </c>
      <c r="D3883" s="10" t="s">
        <v>3823</v>
      </c>
      <c r="E3883" s="10" t="str">
        <f>"644020240512113627168921"</f>
        <v>644020240512113627168921</v>
      </c>
      <c r="F3883" s="9"/>
    </row>
    <row r="3884" s="2" customFormat="1" ht="30" customHeight="1" spans="1:6">
      <c r="A3884" s="9">
        <v>3881</v>
      </c>
      <c r="B3884" s="10" t="s">
        <v>3779</v>
      </c>
      <c r="C3884" s="10" t="s">
        <v>3780</v>
      </c>
      <c r="D3884" s="10" t="s">
        <v>3824</v>
      </c>
      <c r="E3884" s="10" t="str">
        <f>"644020240512100022168392"</f>
        <v>644020240512100022168392</v>
      </c>
      <c r="F3884" s="9"/>
    </row>
    <row r="3885" s="2" customFormat="1" ht="30" customHeight="1" spans="1:6">
      <c r="A3885" s="9">
        <v>3882</v>
      </c>
      <c r="B3885" s="10" t="s">
        <v>3779</v>
      </c>
      <c r="C3885" s="10" t="s">
        <v>3780</v>
      </c>
      <c r="D3885" s="10" t="s">
        <v>3825</v>
      </c>
      <c r="E3885" s="10" t="str">
        <f>"644020240512144510169588"</f>
        <v>644020240512144510169588</v>
      </c>
      <c r="F3885" s="9"/>
    </row>
    <row r="3886" s="2" customFormat="1" ht="30" customHeight="1" spans="1:6">
      <c r="A3886" s="9">
        <v>3883</v>
      </c>
      <c r="B3886" s="10" t="s">
        <v>3779</v>
      </c>
      <c r="C3886" s="10" t="s">
        <v>3780</v>
      </c>
      <c r="D3886" s="10" t="s">
        <v>3826</v>
      </c>
      <c r="E3886" s="10" t="str">
        <f>"644020240512131656169307"</f>
        <v>644020240512131656169307</v>
      </c>
      <c r="F3886" s="9"/>
    </row>
    <row r="3887" s="2" customFormat="1" ht="30" customHeight="1" spans="1:6">
      <c r="A3887" s="9">
        <v>3884</v>
      </c>
      <c r="B3887" s="10" t="s">
        <v>3779</v>
      </c>
      <c r="C3887" s="10" t="s">
        <v>3780</v>
      </c>
      <c r="D3887" s="10" t="s">
        <v>3827</v>
      </c>
      <c r="E3887" s="10" t="str">
        <f>"644020240512152925169758"</f>
        <v>644020240512152925169758</v>
      </c>
      <c r="F3887" s="9"/>
    </row>
    <row r="3888" s="2" customFormat="1" ht="30" customHeight="1" spans="1:6">
      <c r="A3888" s="9">
        <v>3885</v>
      </c>
      <c r="B3888" s="10" t="s">
        <v>3779</v>
      </c>
      <c r="C3888" s="10" t="s">
        <v>3780</v>
      </c>
      <c r="D3888" s="10" t="s">
        <v>3828</v>
      </c>
      <c r="E3888" s="10" t="str">
        <f>"644020240512153708169789"</f>
        <v>644020240512153708169789</v>
      </c>
      <c r="F3888" s="9"/>
    </row>
    <row r="3889" s="2" customFormat="1" ht="30" customHeight="1" spans="1:6">
      <c r="A3889" s="9">
        <v>3886</v>
      </c>
      <c r="B3889" s="10" t="s">
        <v>3779</v>
      </c>
      <c r="C3889" s="10" t="s">
        <v>3780</v>
      </c>
      <c r="D3889" s="10" t="s">
        <v>3829</v>
      </c>
      <c r="E3889" s="10" t="str">
        <f>"644020240512154451169818"</f>
        <v>644020240512154451169818</v>
      </c>
      <c r="F3889" s="9"/>
    </row>
    <row r="3890" s="2" customFormat="1" ht="30" customHeight="1" spans="1:6">
      <c r="A3890" s="9">
        <v>3887</v>
      </c>
      <c r="B3890" s="10" t="s">
        <v>3779</v>
      </c>
      <c r="C3890" s="10" t="s">
        <v>3780</v>
      </c>
      <c r="D3890" s="10" t="s">
        <v>3830</v>
      </c>
      <c r="E3890" s="10" t="str">
        <f>"644020240512114521168959"</f>
        <v>644020240512114521168959</v>
      </c>
      <c r="F3890" s="9"/>
    </row>
    <row r="3891" s="2" customFormat="1" ht="30" customHeight="1" spans="1:6">
      <c r="A3891" s="9">
        <v>3888</v>
      </c>
      <c r="B3891" s="10" t="s">
        <v>3779</v>
      </c>
      <c r="C3891" s="10" t="s">
        <v>3780</v>
      </c>
      <c r="D3891" s="10" t="s">
        <v>3831</v>
      </c>
      <c r="E3891" s="10" t="str">
        <f>"644020240512154208169806"</f>
        <v>644020240512154208169806</v>
      </c>
      <c r="F3891" s="9"/>
    </row>
    <row r="3892" s="2" customFormat="1" ht="30" customHeight="1" spans="1:6">
      <c r="A3892" s="9">
        <v>3889</v>
      </c>
      <c r="B3892" s="10" t="s">
        <v>3779</v>
      </c>
      <c r="C3892" s="10" t="s">
        <v>3780</v>
      </c>
      <c r="D3892" s="10" t="s">
        <v>3832</v>
      </c>
      <c r="E3892" s="10" t="str">
        <f>"644020240512124741169201"</f>
        <v>644020240512124741169201</v>
      </c>
      <c r="F3892" s="9"/>
    </row>
    <row r="3893" s="2" customFormat="1" ht="30" customHeight="1" spans="1:6">
      <c r="A3893" s="9">
        <v>3890</v>
      </c>
      <c r="B3893" s="10" t="s">
        <v>3779</v>
      </c>
      <c r="C3893" s="10" t="s">
        <v>3780</v>
      </c>
      <c r="D3893" s="10" t="s">
        <v>3833</v>
      </c>
      <c r="E3893" s="10" t="str">
        <f>"644020240512153833169797"</f>
        <v>644020240512153833169797</v>
      </c>
      <c r="F3893" s="9"/>
    </row>
    <row r="3894" s="2" customFormat="1" ht="30" customHeight="1" spans="1:6">
      <c r="A3894" s="9">
        <v>3891</v>
      </c>
      <c r="B3894" s="10" t="s">
        <v>3779</v>
      </c>
      <c r="C3894" s="10" t="s">
        <v>3780</v>
      </c>
      <c r="D3894" s="10" t="s">
        <v>3381</v>
      </c>
      <c r="E3894" s="10" t="str">
        <f>"644020240512104939168672"</f>
        <v>644020240512104939168672</v>
      </c>
      <c r="F3894" s="9"/>
    </row>
    <row r="3895" s="2" customFormat="1" ht="30" customHeight="1" spans="1:6">
      <c r="A3895" s="9">
        <v>3892</v>
      </c>
      <c r="B3895" s="10" t="s">
        <v>3779</v>
      </c>
      <c r="C3895" s="10" t="s">
        <v>3780</v>
      </c>
      <c r="D3895" s="10" t="s">
        <v>3834</v>
      </c>
      <c r="E3895" s="10" t="str">
        <f>"644020240512155549169863"</f>
        <v>644020240512155549169863</v>
      </c>
      <c r="F3895" s="9"/>
    </row>
    <row r="3896" s="2" customFormat="1" ht="30" customHeight="1" spans="1:6">
      <c r="A3896" s="9">
        <v>3893</v>
      </c>
      <c r="B3896" s="10" t="s">
        <v>3779</v>
      </c>
      <c r="C3896" s="10" t="s">
        <v>3780</v>
      </c>
      <c r="D3896" s="10" t="s">
        <v>3835</v>
      </c>
      <c r="E3896" s="10" t="str">
        <f>"644020240512104336168639"</f>
        <v>644020240512104336168639</v>
      </c>
      <c r="F3896" s="9"/>
    </row>
    <row r="3897" s="2" customFormat="1" ht="30" customHeight="1" spans="1:6">
      <c r="A3897" s="9">
        <v>3894</v>
      </c>
      <c r="B3897" s="10" t="s">
        <v>3779</v>
      </c>
      <c r="C3897" s="10" t="s">
        <v>3780</v>
      </c>
      <c r="D3897" s="10" t="s">
        <v>2620</v>
      </c>
      <c r="E3897" s="10" t="str">
        <f>"644020240512162242169973"</f>
        <v>644020240512162242169973</v>
      </c>
      <c r="F3897" s="9"/>
    </row>
    <row r="3898" s="2" customFormat="1" ht="30" customHeight="1" spans="1:6">
      <c r="A3898" s="9">
        <v>3895</v>
      </c>
      <c r="B3898" s="10" t="s">
        <v>3779</v>
      </c>
      <c r="C3898" s="10" t="s">
        <v>3780</v>
      </c>
      <c r="D3898" s="10" t="s">
        <v>3836</v>
      </c>
      <c r="E3898" s="10" t="str">
        <f>"644020240512125818169230"</f>
        <v>644020240512125818169230</v>
      </c>
      <c r="F3898" s="9"/>
    </row>
    <row r="3899" s="2" customFormat="1" ht="30" customHeight="1" spans="1:6">
      <c r="A3899" s="9">
        <v>3896</v>
      </c>
      <c r="B3899" s="10" t="s">
        <v>3779</v>
      </c>
      <c r="C3899" s="10" t="s">
        <v>3780</v>
      </c>
      <c r="D3899" s="10" t="s">
        <v>3837</v>
      </c>
      <c r="E3899" s="10" t="str">
        <f>"644020240512131615169303"</f>
        <v>644020240512131615169303</v>
      </c>
      <c r="F3899" s="9"/>
    </row>
    <row r="3900" s="2" customFormat="1" ht="30" customHeight="1" spans="1:6">
      <c r="A3900" s="9">
        <v>3897</v>
      </c>
      <c r="B3900" s="10" t="s">
        <v>3779</v>
      </c>
      <c r="C3900" s="10" t="s">
        <v>3780</v>
      </c>
      <c r="D3900" s="10" t="s">
        <v>3838</v>
      </c>
      <c r="E3900" s="10" t="str">
        <f>"644020240512151349169699"</f>
        <v>644020240512151349169699</v>
      </c>
      <c r="F3900" s="9"/>
    </row>
    <row r="3901" s="2" customFormat="1" ht="30" customHeight="1" spans="1:6">
      <c r="A3901" s="9">
        <v>3898</v>
      </c>
      <c r="B3901" s="10" t="s">
        <v>3779</v>
      </c>
      <c r="C3901" s="10" t="s">
        <v>3780</v>
      </c>
      <c r="D3901" s="10" t="s">
        <v>3839</v>
      </c>
      <c r="E3901" s="10" t="str">
        <f>"644020240512161833169953"</f>
        <v>644020240512161833169953</v>
      </c>
      <c r="F3901" s="9"/>
    </row>
    <row r="3902" s="2" customFormat="1" ht="30" customHeight="1" spans="1:6">
      <c r="A3902" s="9">
        <v>3899</v>
      </c>
      <c r="B3902" s="10" t="s">
        <v>3779</v>
      </c>
      <c r="C3902" s="10" t="s">
        <v>3780</v>
      </c>
      <c r="D3902" s="10" t="s">
        <v>3840</v>
      </c>
      <c r="E3902" s="10" t="str">
        <f>"644020240512153000169760"</f>
        <v>644020240512153000169760</v>
      </c>
      <c r="F3902" s="9"/>
    </row>
    <row r="3903" s="2" customFormat="1" ht="30" customHeight="1" spans="1:6">
      <c r="A3903" s="9">
        <v>3900</v>
      </c>
      <c r="B3903" s="10" t="s">
        <v>3779</v>
      </c>
      <c r="C3903" s="10" t="s">
        <v>3780</v>
      </c>
      <c r="D3903" s="10" t="s">
        <v>3841</v>
      </c>
      <c r="E3903" s="10" t="str">
        <f>"644020240512090227168102"</f>
        <v>644020240512090227168102</v>
      </c>
      <c r="F3903" s="9"/>
    </row>
    <row r="3904" s="2" customFormat="1" ht="30" customHeight="1" spans="1:6">
      <c r="A3904" s="9">
        <v>3901</v>
      </c>
      <c r="B3904" s="10" t="s">
        <v>3779</v>
      </c>
      <c r="C3904" s="10" t="s">
        <v>3780</v>
      </c>
      <c r="D3904" s="10" t="s">
        <v>3842</v>
      </c>
      <c r="E3904" s="10" t="str">
        <f>"644020240512151335169698"</f>
        <v>644020240512151335169698</v>
      </c>
      <c r="F3904" s="9"/>
    </row>
    <row r="3905" s="2" customFormat="1" ht="30" customHeight="1" spans="1:6">
      <c r="A3905" s="9">
        <v>3902</v>
      </c>
      <c r="B3905" s="10" t="s">
        <v>3779</v>
      </c>
      <c r="C3905" s="10" t="s">
        <v>3780</v>
      </c>
      <c r="D3905" s="10" t="s">
        <v>1522</v>
      </c>
      <c r="E3905" s="10" t="str">
        <f>"644020240512141540169503"</f>
        <v>644020240512141540169503</v>
      </c>
      <c r="F3905" s="9"/>
    </row>
    <row r="3906" s="2" customFormat="1" ht="30" customHeight="1" spans="1:6">
      <c r="A3906" s="9">
        <v>3903</v>
      </c>
      <c r="B3906" s="10" t="s">
        <v>3779</v>
      </c>
      <c r="C3906" s="10" t="s">
        <v>3780</v>
      </c>
      <c r="D3906" s="10" t="s">
        <v>3843</v>
      </c>
      <c r="E3906" s="10" t="str">
        <f>"644020240512164737170068"</f>
        <v>644020240512164737170068</v>
      </c>
      <c r="F3906" s="9"/>
    </row>
    <row r="3907" s="2" customFormat="1" ht="30" customHeight="1" spans="1:6">
      <c r="A3907" s="9">
        <v>3904</v>
      </c>
      <c r="B3907" s="10" t="s">
        <v>3779</v>
      </c>
      <c r="C3907" s="10" t="s">
        <v>3780</v>
      </c>
      <c r="D3907" s="10" t="s">
        <v>3844</v>
      </c>
      <c r="E3907" s="10" t="str">
        <f>"644020240512173544170235"</f>
        <v>644020240512173544170235</v>
      </c>
      <c r="F3907" s="9"/>
    </row>
    <row r="3908" s="2" customFormat="1" ht="30" customHeight="1" spans="1:6">
      <c r="A3908" s="9">
        <v>3905</v>
      </c>
      <c r="B3908" s="10" t="s">
        <v>3779</v>
      </c>
      <c r="C3908" s="10" t="s">
        <v>3780</v>
      </c>
      <c r="D3908" s="10" t="s">
        <v>3845</v>
      </c>
      <c r="E3908" s="10" t="str">
        <f>"644020240512121959169085"</f>
        <v>644020240512121959169085</v>
      </c>
      <c r="F3908" s="9"/>
    </row>
    <row r="3909" s="2" customFormat="1" ht="30" customHeight="1" spans="1:6">
      <c r="A3909" s="9">
        <v>3906</v>
      </c>
      <c r="B3909" s="10" t="s">
        <v>3779</v>
      </c>
      <c r="C3909" s="10" t="s">
        <v>3780</v>
      </c>
      <c r="D3909" s="10" t="s">
        <v>3846</v>
      </c>
      <c r="E3909" s="10" t="str">
        <f>"644020240512090900168132"</f>
        <v>644020240512090900168132</v>
      </c>
      <c r="F3909" s="9"/>
    </row>
    <row r="3910" s="2" customFormat="1" ht="30" customHeight="1" spans="1:6">
      <c r="A3910" s="9">
        <v>3907</v>
      </c>
      <c r="B3910" s="10" t="s">
        <v>3779</v>
      </c>
      <c r="C3910" s="10" t="s">
        <v>3780</v>
      </c>
      <c r="D3910" s="10" t="s">
        <v>3847</v>
      </c>
      <c r="E3910" s="10" t="str">
        <f>"644020240512170043170112"</f>
        <v>644020240512170043170112</v>
      </c>
      <c r="F3910" s="9"/>
    </row>
    <row r="3911" s="2" customFormat="1" ht="30" customHeight="1" spans="1:6">
      <c r="A3911" s="9">
        <v>3908</v>
      </c>
      <c r="B3911" s="10" t="s">
        <v>3779</v>
      </c>
      <c r="C3911" s="10" t="s">
        <v>3780</v>
      </c>
      <c r="D3911" s="10" t="s">
        <v>3848</v>
      </c>
      <c r="E3911" s="10" t="str">
        <f>"644020240512165723170098"</f>
        <v>644020240512165723170098</v>
      </c>
      <c r="F3911" s="9"/>
    </row>
    <row r="3912" s="2" customFormat="1" ht="30" customHeight="1" spans="1:6">
      <c r="A3912" s="9">
        <v>3909</v>
      </c>
      <c r="B3912" s="10" t="s">
        <v>3779</v>
      </c>
      <c r="C3912" s="10" t="s">
        <v>3780</v>
      </c>
      <c r="D3912" s="10" t="s">
        <v>3849</v>
      </c>
      <c r="E3912" s="10" t="str">
        <f>"644020240512173207170220"</f>
        <v>644020240512173207170220</v>
      </c>
      <c r="F3912" s="9"/>
    </row>
    <row r="3913" s="2" customFormat="1" ht="30" customHeight="1" spans="1:6">
      <c r="A3913" s="9">
        <v>3910</v>
      </c>
      <c r="B3913" s="10" t="s">
        <v>3779</v>
      </c>
      <c r="C3913" s="10" t="s">
        <v>3780</v>
      </c>
      <c r="D3913" s="10" t="s">
        <v>3850</v>
      </c>
      <c r="E3913" s="10" t="str">
        <f>"644020240512162802169991"</f>
        <v>644020240512162802169991</v>
      </c>
      <c r="F3913" s="9"/>
    </row>
    <row r="3914" s="2" customFormat="1" ht="30" customHeight="1" spans="1:6">
      <c r="A3914" s="9">
        <v>3911</v>
      </c>
      <c r="B3914" s="10" t="s">
        <v>3779</v>
      </c>
      <c r="C3914" s="10" t="s">
        <v>3780</v>
      </c>
      <c r="D3914" s="10" t="s">
        <v>3851</v>
      </c>
      <c r="E3914" s="10" t="str">
        <f>"644020240512153524169784"</f>
        <v>644020240512153524169784</v>
      </c>
      <c r="F3914" s="9"/>
    </row>
    <row r="3915" s="2" customFormat="1" ht="30" customHeight="1" spans="1:6">
      <c r="A3915" s="9">
        <v>3912</v>
      </c>
      <c r="B3915" s="10" t="s">
        <v>3779</v>
      </c>
      <c r="C3915" s="10" t="s">
        <v>3780</v>
      </c>
      <c r="D3915" s="10" t="s">
        <v>3852</v>
      </c>
      <c r="E3915" s="10" t="str">
        <f>"644020240512180532170326"</f>
        <v>644020240512180532170326</v>
      </c>
      <c r="F3915" s="9"/>
    </row>
    <row r="3916" s="2" customFormat="1" ht="30" customHeight="1" spans="1:6">
      <c r="A3916" s="9">
        <v>3913</v>
      </c>
      <c r="B3916" s="10" t="s">
        <v>3779</v>
      </c>
      <c r="C3916" s="10" t="s">
        <v>3780</v>
      </c>
      <c r="D3916" s="10" t="s">
        <v>3853</v>
      </c>
      <c r="E3916" s="10" t="str">
        <f>"644020240512145439169632"</f>
        <v>644020240512145439169632</v>
      </c>
      <c r="F3916" s="9"/>
    </row>
    <row r="3917" s="2" customFormat="1" ht="30" customHeight="1" spans="1:6">
      <c r="A3917" s="9">
        <v>3914</v>
      </c>
      <c r="B3917" s="10" t="s">
        <v>3779</v>
      </c>
      <c r="C3917" s="10" t="s">
        <v>3780</v>
      </c>
      <c r="D3917" s="10" t="s">
        <v>3854</v>
      </c>
      <c r="E3917" s="10" t="str">
        <f>"644020240512180609170328"</f>
        <v>644020240512180609170328</v>
      </c>
      <c r="F3917" s="9"/>
    </row>
    <row r="3918" s="2" customFormat="1" ht="30" customHeight="1" spans="1:6">
      <c r="A3918" s="9">
        <v>3915</v>
      </c>
      <c r="B3918" s="10" t="s">
        <v>3779</v>
      </c>
      <c r="C3918" s="10" t="s">
        <v>3780</v>
      </c>
      <c r="D3918" s="10" t="s">
        <v>3855</v>
      </c>
      <c r="E3918" s="10" t="str">
        <f>"644020240512183739170424"</f>
        <v>644020240512183739170424</v>
      </c>
      <c r="F3918" s="9"/>
    </row>
    <row r="3919" s="2" customFormat="1" ht="30" customHeight="1" spans="1:6">
      <c r="A3919" s="9">
        <v>3916</v>
      </c>
      <c r="B3919" s="10" t="s">
        <v>3779</v>
      </c>
      <c r="C3919" s="10" t="s">
        <v>3780</v>
      </c>
      <c r="D3919" s="10" t="s">
        <v>3856</v>
      </c>
      <c r="E3919" s="10" t="str">
        <f>"644020240512121142169058"</f>
        <v>644020240512121142169058</v>
      </c>
      <c r="F3919" s="9"/>
    </row>
    <row r="3920" s="2" customFormat="1" ht="30" customHeight="1" spans="1:6">
      <c r="A3920" s="9">
        <v>3917</v>
      </c>
      <c r="B3920" s="10" t="s">
        <v>3779</v>
      </c>
      <c r="C3920" s="10" t="s">
        <v>3780</v>
      </c>
      <c r="D3920" s="10" t="s">
        <v>3857</v>
      </c>
      <c r="E3920" s="10" t="str">
        <f>"644020240512160022169876"</f>
        <v>644020240512160022169876</v>
      </c>
      <c r="F3920" s="9"/>
    </row>
    <row r="3921" s="2" customFormat="1" ht="30" customHeight="1" spans="1:6">
      <c r="A3921" s="9">
        <v>3918</v>
      </c>
      <c r="B3921" s="10" t="s">
        <v>3779</v>
      </c>
      <c r="C3921" s="10" t="s">
        <v>3780</v>
      </c>
      <c r="D3921" s="10" t="s">
        <v>3858</v>
      </c>
      <c r="E3921" s="10" t="str">
        <f>"644020240512194039170636"</f>
        <v>644020240512194039170636</v>
      </c>
      <c r="F3921" s="9"/>
    </row>
    <row r="3922" s="2" customFormat="1" ht="30" customHeight="1" spans="1:6">
      <c r="A3922" s="9">
        <v>3919</v>
      </c>
      <c r="B3922" s="10" t="s">
        <v>3779</v>
      </c>
      <c r="C3922" s="10" t="s">
        <v>3780</v>
      </c>
      <c r="D3922" s="10" t="s">
        <v>3859</v>
      </c>
      <c r="E3922" s="10" t="str">
        <f>"644020240512195006170668"</f>
        <v>644020240512195006170668</v>
      </c>
      <c r="F3922" s="9"/>
    </row>
    <row r="3923" s="2" customFormat="1" ht="30" customHeight="1" spans="1:6">
      <c r="A3923" s="9">
        <v>3920</v>
      </c>
      <c r="B3923" s="10" t="s">
        <v>3779</v>
      </c>
      <c r="C3923" s="10" t="s">
        <v>3780</v>
      </c>
      <c r="D3923" s="10" t="s">
        <v>3860</v>
      </c>
      <c r="E3923" s="10" t="str">
        <f>"644020240512200000170709"</f>
        <v>644020240512200000170709</v>
      </c>
      <c r="F3923" s="9"/>
    </row>
    <row r="3924" s="2" customFormat="1" ht="30" customHeight="1" spans="1:6">
      <c r="A3924" s="9">
        <v>3921</v>
      </c>
      <c r="B3924" s="10" t="s">
        <v>3779</v>
      </c>
      <c r="C3924" s="10" t="s">
        <v>3780</v>
      </c>
      <c r="D3924" s="10" t="s">
        <v>3861</v>
      </c>
      <c r="E3924" s="10" t="str">
        <f>"644020240512122735169108"</f>
        <v>644020240512122735169108</v>
      </c>
      <c r="F3924" s="9"/>
    </row>
    <row r="3925" s="2" customFormat="1" ht="30" customHeight="1" spans="1:6">
      <c r="A3925" s="9">
        <v>3922</v>
      </c>
      <c r="B3925" s="10" t="s">
        <v>3779</v>
      </c>
      <c r="C3925" s="10" t="s">
        <v>3780</v>
      </c>
      <c r="D3925" s="10" t="s">
        <v>3862</v>
      </c>
      <c r="E3925" s="10" t="str">
        <f>"644020240512201343170766"</f>
        <v>644020240512201343170766</v>
      </c>
      <c r="F3925" s="9"/>
    </row>
    <row r="3926" s="2" customFormat="1" ht="30" customHeight="1" spans="1:6">
      <c r="A3926" s="9">
        <v>3923</v>
      </c>
      <c r="B3926" s="10" t="s">
        <v>3779</v>
      </c>
      <c r="C3926" s="10" t="s">
        <v>3780</v>
      </c>
      <c r="D3926" s="10" t="s">
        <v>3863</v>
      </c>
      <c r="E3926" s="10" t="str">
        <f>"644020240512192835170600"</f>
        <v>644020240512192835170600</v>
      </c>
      <c r="F3926" s="9"/>
    </row>
    <row r="3927" s="2" customFormat="1" ht="30" customHeight="1" spans="1:6">
      <c r="A3927" s="9">
        <v>3924</v>
      </c>
      <c r="B3927" s="10" t="s">
        <v>3779</v>
      </c>
      <c r="C3927" s="10" t="s">
        <v>3780</v>
      </c>
      <c r="D3927" s="10" t="s">
        <v>3864</v>
      </c>
      <c r="E3927" s="10" t="str">
        <f>"644020240512203207170846"</f>
        <v>644020240512203207170846</v>
      </c>
      <c r="F3927" s="9"/>
    </row>
    <row r="3928" s="2" customFormat="1" ht="30" customHeight="1" spans="1:6">
      <c r="A3928" s="9">
        <v>3925</v>
      </c>
      <c r="B3928" s="10" t="s">
        <v>3779</v>
      </c>
      <c r="C3928" s="10" t="s">
        <v>3780</v>
      </c>
      <c r="D3928" s="10" t="s">
        <v>3865</v>
      </c>
      <c r="E3928" s="10" t="str">
        <f>"644020240512195538170696"</f>
        <v>644020240512195538170696</v>
      </c>
      <c r="F3928" s="9"/>
    </row>
    <row r="3929" s="2" customFormat="1" ht="30" customHeight="1" spans="1:6">
      <c r="A3929" s="9">
        <v>3926</v>
      </c>
      <c r="B3929" s="10" t="s">
        <v>3779</v>
      </c>
      <c r="C3929" s="10" t="s">
        <v>3780</v>
      </c>
      <c r="D3929" s="10" t="s">
        <v>3866</v>
      </c>
      <c r="E3929" s="10" t="str">
        <f>"644020240512210427171013"</f>
        <v>644020240512210427171013</v>
      </c>
      <c r="F3929" s="9"/>
    </row>
    <row r="3930" s="2" customFormat="1" ht="30" customHeight="1" spans="1:6">
      <c r="A3930" s="9">
        <v>3927</v>
      </c>
      <c r="B3930" s="10" t="s">
        <v>3779</v>
      </c>
      <c r="C3930" s="10" t="s">
        <v>3780</v>
      </c>
      <c r="D3930" s="10" t="s">
        <v>3867</v>
      </c>
      <c r="E3930" s="10" t="str">
        <f>"644020240512200102170711"</f>
        <v>644020240512200102170711</v>
      </c>
      <c r="F3930" s="9"/>
    </row>
    <row r="3931" s="2" customFormat="1" ht="30" customHeight="1" spans="1:6">
      <c r="A3931" s="9">
        <v>3928</v>
      </c>
      <c r="B3931" s="10" t="s">
        <v>3779</v>
      </c>
      <c r="C3931" s="10" t="s">
        <v>3780</v>
      </c>
      <c r="D3931" s="10" t="s">
        <v>3868</v>
      </c>
      <c r="E3931" s="10" t="str">
        <f>"644020240512213038171155"</f>
        <v>644020240512213038171155</v>
      </c>
      <c r="F3931" s="9"/>
    </row>
    <row r="3932" s="2" customFormat="1" ht="30" customHeight="1" spans="1:6">
      <c r="A3932" s="9">
        <v>3929</v>
      </c>
      <c r="B3932" s="10" t="s">
        <v>3779</v>
      </c>
      <c r="C3932" s="10" t="s">
        <v>3780</v>
      </c>
      <c r="D3932" s="10" t="s">
        <v>3869</v>
      </c>
      <c r="E3932" s="10" t="str">
        <f>"644020240512213052171158"</f>
        <v>644020240512213052171158</v>
      </c>
      <c r="F3932" s="9"/>
    </row>
    <row r="3933" s="2" customFormat="1" ht="30" customHeight="1" spans="1:6">
      <c r="A3933" s="9">
        <v>3930</v>
      </c>
      <c r="B3933" s="10" t="s">
        <v>3779</v>
      </c>
      <c r="C3933" s="10" t="s">
        <v>3780</v>
      </c>
      <c r="D3933" s="10" t="s">
        <v>3870</v>
      </c>
      <c r="E3933" s="10" t="str">
        <f>"644020240512205521170964"</f>
        <v>644020240512205521170964</v>
      </c>
      <c r="F3933" s="9"/>
    </row>
    <row r="3934" s="2" customFormat="1" ht="30" customHeight="1" spans="1:6">
      <c r="A3934" s="9">
        <v>3931</v>
      </c>
      <c r="B3934" s="10" t="s">
        <v>3779</v>
      </c>
      <c r="C3934" s="10" t="s">
        <v>3780</v>
      </c>
      <c r="D3934" s="10" t="s">
        <v>3871</v>
      </c>
      <c r="E3934" s="10" t="str">
        <f>"644020240512212856171147"</f>
        <v>644020240512212856171147</v>
      </c>
      <c r="F3934" s="9"/>
    </row>
    <row r="3935" s="2" customFormat="1" ht="30" customHeight="1" spans="1:6">
      <c r="A3935" s="9">
        <v>3932</v>
      </c>
      <c r="B3935" s="10" t="s">
        <v>3779</v>
      </c>
      <c r="C3935" s="10" t="s">
        <v>3780</v>
      </c>
      <c r="D3935" s="10" t="s">
        <v>3872</v>
      </c>
      <c r="E3935" s="10" t="str">
        <f>"644020240512211915171090"</f>
        <v>644020240512211915171090</v>
      </c>
      <c r="F3935" s="9"/>
    </row>
    <row r="3936" s="2" customFormat="1" ht="30" customHeight="1" spans="1:6">
      <c r="A3936" s="9">
        <v>3933</v>
      </c>
      <c r="B3936" s="10" t="s">
        <v>3779</v>
      </c>
      <c r="C3936" s="10" t="s">
        <v>3780</v>
      </c>
      <c r="D3936" s="10" t="s">
        <v>3873</v>
      </c>
      <c r="E3936" s="10" t="str">
        <f>"644020240512205733170977"</f>
        <v>644020240512205733170977</v>
      </c>
      <c r="F3936" s="9"/>
    </row>
    <row r="3937" s="2" customFormat="1" ht="30" customHeight="1" spans="1:6">
      <c r="A3937" s="9">
        <v>3934</v>
      </c>
      <c r="B3937" s="10" t="s">
        <v>3779</v>
      </c>
      <c r="C3937" s="10" t="s">
        <v>3780</v>
      </c>
      <c r="D3937" s="10" t="s">
        <v>3874</v>
      </c>
      <c r="E3937" s="10" t="str">
        <f>"644020240512220859171378"</f>
        <v>644020240512220859171378</v>
      </c>
      <c r="F3937" s="9"/>
    </row>
    <row r="3938" s="2" customFormat="1" ht="30" customHeight="1" spans="1:6">
      <c r="A3938" s="9">
        <v>3935</v>
      </c>
      <c r="B3938" s="10" t="s">
        <v>3779</v>
      </c>
      <c r="C3938" s="10" t="s">
        <v>3780</v>
      </c>
      <c r="D3938" s="10" t="s">
        <v>3875</v>
      </c>
      <c r="E3938" s="10" t="str">
        <f>"644020240512210013170995"</f>
        <v>644020240512210013170995</v>
      </c>
      <c r="F3938" s="9"/>
    </row>
    <row r="3939" s="2" customFormat="1" ht="30" customHeight="1" spans="1:6">
      <c r="A3939" s="9">
        <v>3936</v>
      </c>
      <c r="B3939" s="10" t="s">
        <v>3779</v>
      </c>
      <c r="C3939" s="10" t="s">
        <v>3780</v>
      </c>
      <c r="D3939" s="10" t="s">
        <v>3876</v>
      </c>
      <c r="E3939" s="10" t="str">
        <f>"644020240512213733171185"</f>
        <v>644020240512213733171185</v>
      </c>
      <c r="F3939" s="9"/>
    </row>
    <row r="3940" s="2" customFormat="1" ht="30" customHeight="1" spans="1:6">
      <c r="A3940" s="9">
        <v>3937</v>
      </c>
      <c r="B3940" s="10" t="s">
        <v>3779</v>
      </c>
      <c r="C3940" s="10" t="s">
        <v>3780</v>
      </c>
      <c r="D3940" s="10" t="s">
        <v>3877</v>
      </c>
      <c r="E3940" s="10" t="str">
        <f>"644020240512095839168378"</f>
        <v>644020240512095839168378</v>
      </c>
      <c r="F3940" s="9"/>
    </row>
    <row r="3941" s="2" customFormat="1" ht="30" customHeight="1" spans="1:6">
      <c r="A3941" s="9">
        <v>3938</v>
      </c>
      <c r="B3941" s="10" t="s">
        <v>3779</v>
      </c>
      <c r="C3941" s="10" t="s">
        <v>3780</v>
      </c>
      <c r="D3941" s="10" t="s">
        <v>3878</v>
      </c>
      <c r="E3941" s="10" t="str">
        <f>"644020240512221022171385"</f>
        <v>644020240512221022171385</v>
      </c>
      <c r="F3941" s="9"/>
    </row>
    <row r="3942" s="2" customFormat="1" ht="30" customHeight="1" spans="1:6">
      <c r="A3942" s="9">
        <v>3939</v>
      </c>
      <c r="B3942" s="10" t="s">
        <v>3779</v>
      </c>
      <c r="C3942" s="10" t="s">
        <v>3780</v>
      </c>
      <c r="D3942" s="10" t="s">
        <v>3879</v>
      </c>
      <c r="E3942" s="10" t="str">
        <f>"644020240512183153170401"</f>
        <v>644020240512183153170401</v>
      </c>
      <c r="F3942" s="9"/>
    </row>
    <row r="3943" s="2" customFormat="1" ht="30" customHeight="1" spans="1:6">
      <c r="A3943" s="9">
        <v>3940</v>
      </c>
      <c r="B3943" s="10" t="s">
        <v>3779</v>
      </c>
      <c r="C3943" s="10" t="s">
        <v>3780</v>
      </c>
      <c r="D3943" s="10" t="s">
        <v>3880</v>
      </c>
      <c r="E3943" s="10" t="str">
        <f>"644020240512211206171053"</f>
        <v>644020240512211206171053</v>
      </c>
      <c r="F3943" s="9"/>
    </row>
    <row r="3944" s="2" customFormat="1" ht="30" customHeight="1" spans="1:6">
      <c r="A3944" s="9">
        <v>3941</v>
      </c>
      <c r="B3944" s="10" t="s">
        <v>3779</v>
      </c>
      <c r="C3944" s="10" t="s">
        <v>3780</v>
      </c>
      <c r="D3944" s="10" t="s">
        <v>3881</v>
      </c>
      <c r="E3944" s="10" t="str">
        <f>"644020240512221650171415"</f>
        <v>644020240512221650171415</v>
      </c>
      <c r="F3944" s="9"/>
    </row>
    <row r="3945" s="2" customFormat="1" ht="30" customHeight="1" spans="1:6">
      <c r="A3945" s="9">
        <v>3942</v>
      </c>
      <c r="B3945" s="10" t="s">
        <v>3779</v>
      </c>
      <c r="C3945" s="10" t="s">
        <v>3780</v>
      </c>
      <c r="D3945" s="10" t="s">
        <v>3882</v>
      </c>
      <c r="E3945" s="10" t="str">
        <f>"644020240512221131171397"</f>
        <v>644020240512221131171397</v>
      </c>
      <c r="F3945" s="9"/>
    </row>
    <row r="3946" s="2" customFormat="1" ht="30" customHeight="1" spans="1:6">
      <c r="A3946" s="9">
        <v>3943</v>
      </c>
      <c r="B3946" s="10" t="s">
        <v>3779</v>
      </c>
      <c r="C3946" s="10" t="s">
        <v>3780</v>
      </c>
      <c r="D3946" s="10" t="s">
        <v>3883</v>
      </c>
      <c r="E3946" s="10" t="str">
        <f>"644020240512215448171293"</f>
        <v>644020240512215448171293</v>
      </c>
      <c r="F3946" s="9"/>
    </row>
    <row r="3947" s="2" customFormat="1" ht="30" customHeight="1" spans="1:6">
      <c r="A3947" s="9">
        <v>3944</v>
      </c>
      <c r="B3947" s="10" t="s">
        <v>3779</v>
      </c>
      <c r="C3947" s="10" t="s">
        <v>3780</v>
      </c>
      <c r="D3947" s="10" t="s">
        <v>3884</v>
      </c>
      <c r="E3947" s="10" t="str">
        <f>"644020240512165501170087"</f>
        <v>644020240512165501170087</v>
      </c>
      <c r="F3947" s="9"/>
    </row>
    <row r="3948" s="2" customFormat="1" ht="30" customHeight="1" spans="1:6">
      <c r="A3948" s="9">
        <v>3945</v>
      </c>
      <c r="B3948" s="10" t="s">
        <v>3779</v>
      </c>
      <c r="C3948" s="10" t="s">
        <v>3780</v>
      </c>
      <c r="D3948" s="10" t="s">
        <v>3885</v>
      </c>
      <c r="E3948" s="10" t="str">
        <f>"644020240512222220171447"</f>
        <v>644020240512222220171447</v>
      </c>
      <c r="F3948" s="9"/>
    </row>
    <row r="3949" s="2" customFormat="1" ht="30" customHeight="1" spans="1:6">
      <c r="A3949" s="9">
        <v>3946</v>
      </c>
      <c r="B3949" s="10" t="s">
        <v>3779</v>
      </c>
      <c r="C3949" s="10" t="s">
        <v>3780</v>
      </c>
      <c r="D3949" s="10" t="s">
        <v>3886</v>
      </c>
      <c r="E3949" s="10" t="str">
        <f>"644020240512223259171512"</f>
        <v>644020240512223259171512</v>
      </c>
      <c r="F3949" s="9"/>
    </row>
    <row r="3950" s="2" customFormat="1" ht="30" customHeight="1" spans="1:6">
      <c r="A3950" s="9">
        <v>3947</v>
      </c>
      <c r="B3950" s="10" t="s">
        <v>3779</v>
      </c>
      <c r="C3950" s="10" t="s">
        <v>3780</v>
      </c>
      <c r="D3950" s="10" t="s">
        <v>3887</v>
      </c>
      <c r="E3950" s="10" t="str">
        <f>"644020240512184139170443"</f>
        <v>644020240512184139170443</v>
      </c>
      <c r="F3950" s="9"/>
    </row>
    <row r="3951" s="2" customFormat="1" ht="30" customHeight="1" spans="1:6">
      <c r="A3951" s="9">
        <v>3948</v>
      </c>
      <c r="B3951" s="10" t="s">
        <v>3779</v>
      </c>
      <c r="C3951" s="10" t="s">
        <v>3780</v>
      </c>
      <c r="D3951" s="10" t="s">
        <v>3888</v>
      </c>
      <c r="E3951" s="10" t="str">
        <f>"644020240512224924171606"</f>
        <v>644020240512224924171606</v>
      </c>
      <c r="F3951" s="9"/>
    </row>
    <row r="3952" s="2" customFormat="1" ht="30" customHeight="1" spans="1:6">
      <c r="A3952" s="9">
        <v>3949</v>
      </c>
      <c r="B3952" s="10" t="s">
        <v>3779</v>
      </c>
      <c r="C3952" s="10" t="s">
        <v>3780</v>
      </c>
      <c r="D3952" s="10" t="s">
        <v>3889</v>
      </c>
      <c r="E3952" s="10" t="str">
        <f>"644020240512112625168865"</f>
        <v>644020240512112625168865</v>
      </c>
      <c r="F3952" s="9"/>
    </row>
    <row r="3953" s="2" customFormat="1" ht="30" customHeight="1" spans="1:6">
      <c r="A3953" s="9">
        <v>3950</v>
      </c>
      <c r="B3953" s="10" t="s">
        <v>3779</v>
      </c>
      <c r="C3953" s="10" t="s">
        <v>3780</v>
      </c>
      <c r="D3953" s="10" t="s">
        <v>3890</v>
      </c>
      <c r="E3953" s="10" t="str">
        <f>"644020240512150020169648"</f>
        <v>644020240512150020169648</v>
      </c>
      <c r="F3953" s="9"/>
    </row>
    <row r="3954" s="2" customFormat="1" ht="30" customHeight="1" spans="1:6">
      <c r="A3954" s="9">
        <v>3951</v>
      </c>
      <c r="B3954" s="10" t="s">
        <v>3779</v>
      </c>
      <c r="C3954" s="10" t="s">
        <v>3780</v>
      </c>
      <c r="D3954" s="10" t="s">
        <v>3891</v>
      </c>
      <c r="E3954" s="10" t="str">
        <f>"644020240512172842170207"</f>
        <v>644020240512172842170207</v>
      </c>
      <c r="F3954" s="9"/>
    </row>
    <row r="3955" s="2" customFormat="1" ht="30" customHeight="1" spans="1:6">
      <c r="A3955" s="9">
        <v>3952</v>
      </c>
      <c r="B3955" s="10" t="s">
        <v>3779</v>
      </c>
      <c r="C3955" s="10" t="s">
        <v>3780</v>
      </c>
      <c r="D3955" s="10" t="s">
        <v>3892</v>
      </c>
      <c r="E3955" s="10" t="str">
        <f>"644020240512230318171696"</f>
        <v>644020240512230318171696</v>
      </c>
      <c r="F3955" s="9"/>
    </row>
    <row r="3956" s="2" customFormat="1" ht="30" customHeight="1" spans="1:6">
      <c r="A3956" s="9">
        <v>3953</v>
      </c>
      <c r="B3956" s="10" t="s">
        <v>3779</v>
      </c>
      <c r="C3956" s="10" t="s">
        <v>3780</v>
      </c>
      <c r="D3956" s="10" t="s">
        <v>3893</v>
      </c>
      <c r="E3956" s="10" t="str">
        <f>"644020240512225009171614"</f>
        <v>644020240512225009171614</v>
      </c>
      <c r="F3956" s="9"/>
    </row>
    <row r="3957" s="2" customFormat="1" ht="30" customHeight="1" spans="1:6">
      <c r="A3957" s="9">
        <v>3954</v>
      </c>
      <c r="B3957" s="10" t="s">
        <v>3779</v>
      </c>
      <c r="C3957" s="10" t="s">
        <v>3780</v>
      </c>
      <c r="D3957" s="10" t="s">
        <v>3894</v>
      </c>
      <c r="E3957" s="10" t="str">
        <f>"644020240512231836171772"</f>
        <v>644020240512231836171772</v>
      </c>
      <c r="F3957" s="9"/>
    </row>
    <row r="3958" s="2" customFormat="1" ht="30" customHeight="1" spans="1:6">
      <c r="A3958" s="9">
        <v>3955</v>
      </c>
      <c r="B3958" s="10" t="s">
        <v>3779</v>
      </c>
      <c r="C3958" s="10" t="s">
        <v>3780</v>
      </c>
      <c r="D3958" s="10" t="s">
        <v>3895</v>
      </c>
      <c r="E3958" s="10" t="str">
        <f>"644020240512230403171701"</f>
        <v>644020240512230403171701</v>
      </c>
      <c r="F3958" s="9"/>
    </row>
    <row r="3959" s="2" customFormat="1" ht="30" customHeight="1" spans="1:6">
      <c r="A3959" s="9">
        <v>3956</v>
      </c>
      <c r="B3959" s="10" t="s">
        <v>3779</v>
      </c>
      <c r="C3959" s="10" t="s">
        <v>3780</v>
      </c>
      <c r="D3959" s="10" t="s">
        <v>3896</v>
      </c>
      <c r="E3959" s="10" t="str">
        <f>"644020240512122116169092"</f>
        <v>644020240512122116169092</v>
      </c>
      <c r="F3959" s="9"/>
    </row>
    <row r="3960" s="2" customFormat="1" ht="30" customHeight="1" spans="1:6">
      <c r="A3960" s="9">
        <v>3957</v>
      </c>
      <c r="B3960" s="10" t="s">
        <v>3779</v>
      </c>
      <c r="C3960" s="10" t="s">
        <v>3780</v>
      </c>
      <c r="D3960" s="10" t="s">
        <v>3897</v>
      </c>
      <c r="E3960" s="10" t="str">
        <f>"644020240512231634171763"</f>
        <v>644020240512231634171763</v>
      </c>
      <c r="F3960" s="9"/>
    </row>
    <row r="3961" s="2" customFormat="1" ht="30" customHeight="1" spans="1:6">
      <c r="A3961" s="9">
        <v>3958</v>
      </c>
      <c r="B3961" s="10" t="s">
        <v>3779</v>
      </c>
      <c r="C3961" s="10" t="s">
        <v>3780</v>
      </c>
      <c r="D3961" s="10" t="s">
        <v>965</v>
      </c>
      <c r="E3961" s="10" t="str">
        <f>"644020240512233247171830"</f>
        <v>644020240512233247171830</v>
      </c>
      <c r="F3961" s="9"/>
    </row>
    <row r="3962" s="2" customFormat="1" ht="30" customHeight="1" spans="1:6">
      <c r="A3962" s="9">
        <v>3959</v>
      </c>
      <c r="B3962" s="10" t="s">
        <v>3779</v>
      </c>
      <c r="C3962" s="10" t="s">
        <v>3780</v>
      </c>
      <c r="D3962" s="10" t="s">
        <v>3898</v>
      </c>
      <c r="E3962" s="10" t="str">
        <f>"644020240512230826171724"</f>
        <v>644020240512230826171724</v>
      </c>
      <c r="F3962" s="9"/>
    </row>
    <row r="3963" s="2" customFormat="1" ht="30" customHeight="1" spans="1:6">
      <c r="A3963" s="9">
        <v>3960</v>
      </c>
      <c r="B3963" s="10" t="s">
        <v>3779</v>
      </c>
      <c r="C3963" s="10" t="s">
        <v>3780</v>
      </c>
      <c r="D3963" s="10" t="s">
        <v>3899</v>
      </c>
      <c r="E3963" s="10" t="str">
        <f>"644020240513004512172007"</f>
        <v>644020240513004512172007</v>
      </c>
      <c r="F3963" s="9"/>
    </row>
    <row r="3964" s="2" customFormat="1" ht="30" customHeight="1" spans="1:6">
      <c r="A3964" s="9">
        <v>3961</v>
      </c>
      <c r="B3964" s="10" t="s">
        <v>3779</v>
      </c>
      <c r="C3964" s="10" t="s">
        <v>3780</v>
      </c>
      <c r="D3964" s="10" t="s">
        <v>3900</v>
      </c>
      <c r="E3964" s="10" t="str">
        <f>"644020240513074305172165"</f>
        <v>644020240513074305172165</v>
      </c>
      <c r="F3964" s="9"/>
    </row>
    <row r="3965" s="2" customFormat="1" ht="30" customHeight="1" spans="1:6">
      <c r="A3965" s="9">
        <v>3962</v>
      </c>
      <c r="B3965" s="10" t="s">
        <v>3779</v>
      </c>
      <c r="C3965" s="10" t="s">
        <v>3780</v>
      </c>
      <c r="D3965" s="10" t="s">
        <v>3901</v>
      </c>
      <c r="E3965" s="10" t="str">
        <f>"644020240512204810170922"</f>
        <v>644020240512204810170922</v>
      </c>
      <c r="F3965" s="9"/>
    </row>
    <row r="3966" s="2" customFormat="1" ht="30" customHeight="1" spans="1:6">
      <c r="A3966" s="9">
        <v>3963</v>
      </c>
      <c r="B3966" s="10" t="s">
        <v>3779</v>
      </c>
      <c r="C3966" s="10" t="s">
        <v>3780</v>
      </c>
      <c r="D3966" s="10" t="s">
        <v>1580</v>
      </c>
      <c r="E3966" s="10" t="str">
        <f>"644020240513082120172258"</f>
        <v>644020240513082120172258</v>
      </c>
      <c r="F3966" s="9"/>
    </row>
    <row r="3967" s="2" customFormat="1" ht="30" customHeight="1" spans="1:6">
      <c r="A3967" s="9">
        <v>3964</v>
      </c>
      <c r="B3967" s="10" t="s">
        <v>3779</v>
      </c>
      <c r="C3967" s="10" t="s">
        <v>3780</v>
      </c>
      <c r="D3967" s="10" t="s">
        <v>3902</v>
      </c>
      <c r="E3967" s="10" t="str">
        <f>"644020240513082917172290"</f>
        <v>644020240513082917172290</v>
      </c>
      <c r="F3967" s="9"/>
    </row>
    <row r="3968" s="2" customFormat="1" ht="30" customHeight="1" spans="1:6">
      <c r="A3968" s="9">
        <v>3965</v>
      </c>
      <c r="B3968" s="10" t="s">
        <v>3779</v>
      </c>
      <c r="C3968" s="10" t="s">
        <v>3780</v>
      </c>
      <c r="D3968" s="10" t="s">
        <v>2525</v>
      </c>
      <c r="E3968" s="10" t="str">
        <f>"644020240513090105172498"</f>
        <v>644020240513090105172498</v>
      </c>
      <c r="F3968" s="9"/>
    </row>
    <row r="3969" s="2" customFormat="1" ht="30" customHeight="1" spans="1:6">
      <c r="A3969" s="9">
        <v>3966</v>
      </c>
      <c r="B3969" s="10" t="s">
        <v>3779</v>
      </c>
      <c r="C3969" s="10" t="s">
        <v>3780</v>
      </c>
      <c r="D3969" s="10" t="s">
        <v>3903</v>
      </c>
      <c r="E3969" s="10" t="str">
        <f>"644020240513084549172389"</f>
        <v>644020240513084549172389</v>
      </c>
      <c r="F3969" s="9"/>
    </row>
    <row r="3970" s="2" customFormat="1" ht="30" customHeight="1" spans="1:6">
      <c r="A3970" s="9">
        <v>3967</v>
      </c>
      <c r="B3970" s="10" t="s">
        <v>3779</v>
      </c>
      <c r="C3970" s="10" t="s">
        <v>3780</v>
      </c>
      <c r="D3970" s="10" t="s">
        <v>3904</v>
      </c>
      <c r="E3970" s="10" t="str">
        <f>"644020240513075934172194"</f>
        <v>644020240513075934172194</v>
      </c>
      <c r="F3970" s="9"/>
    </row>
    <row r="3971" s="2" customFormat="1" ht="30" customHeight="1" spans="1:6">
      <c r="A3971" s="9">
        <v>3968</v>
      </c>
      <c r="B3971" s="10" t="s">
        <v>3779</v>
      </c>
      <c r="C3971" s="10" t="s">
        <v>3780</v>
      </c>
      <c r="D3971" s="10" t="s">
        <v>3905</v>
      </c>
      <c r="E3971" s="10" t="str">
        <f>"644020240513082425172269"</f>
        <v>644020240513082425172269</v>
      </c>
      <c r="F3971" s="9"/>
    </row>
    <row r="3972" s="2" customFormat="1" ht="30" customHeight="1" spans="1:6">
      <c r="A3972" s="9">
        <v>3969</v>
      </c>
      <c r="B3972" s="10" t="s">
        <v>3779</v>
      </c>
      <c r="C3972" s="10" t="s">
        <v>3780</v>
      </c>
      <c r="D3972" s="10" t="s">
        <v>3906</v>
      </c>
      <c r="E3972" s="10" t="str">
        <f>"644020240512091234168161"</f>
        <v>644020240512091234168161</v>
      </c>
      <c r="F3972" s="9"/>
    </row>
    <row r="3973" s="2" customFormat="1" ht="30" customHeight="1" spans="1:6">
      <c r="A3973" s="9">
        <v>3970</v>
      </c>
      <c r="B3973" s="10" t="s">
        <v>3779</v>
      </c>
      <c r="C3973" s="10" t="s">
        <v>3780</v>
      </c>
      <c r="D3973" s="10" t="s">
        <v>3907</v>
      </c>
      <c r="E3973" s="10" t="str">
        <f>"644020240513093346172843"</f>
        <v>644020240513093346172843</v>
      </c>
      <c r="F3973" s="9"/>
    </row>
    <row r="3974" s="2" customFormat="1" ht="30" customHeight="1" spans="1:6">
      <c r="A3974" s="9">
        <v>3971</v>
      </c>
      <c r="B3974" s="10" t="s">
        <v>3779</v>
      </c>
      <c r="C3974" s="10" t="s">
        <v>3780</v>
      </c>
      <c r="D3974" s="10" t="s">
        <v>3908</v>
      </c>
      <c r="E3974" s="10" t="str">
        <f>"644020240513091446172635"</f>
        <v>644020240513091446172635</v>
      </c>
      <c r="F3974" s="9"/>
    </row>
    <row r="3975" s="2" customFormat="1" ht="30" customHeight="1" spans="1:6">
      <c r="A3975" s="9">
        <v>3972</v>
      </c>
      <c r="B3975" s="10" t="s">
        <v>3779</v>
      </c>
      <c r="C3975" s="10" t="s">
        <v>3780</v>
      </c>
      <c r="D3975" s="10" t="s">
        <v>3909</v>
      </c>
      <c r="E3975" s="10" t="str">
        <f>"644020240512163919170036"</f>
        <v>644020240512163919170036</v>
      </c>
      <c r="F3975" s="9"/>
    </row>
    <row r="3976" s="2" customFormat="1" ht="30" customHeight="1" spans="1:6">
      <c r="A3976" s="9">
        <v>3973</v>
      </c>
      <c r="B3976" s="10" t="s">
        <v>3779</v>
      </c>
      <c r="C3976" s="10" t="s">
        <v>3780</v>
      </c>
      <c r="D3976" s="10" t="s">
        <v>3910</v>
      </c>
      <c r="E3976" s="10" t="str">
        <f>"644020240513085130172429"</f>
        <v>644020240513085130172429</v>
      </c>
      <c r="F3976" s="9"/>
    </row>
    <row r="3977" s="2" customFormat="1" ht="30" customHeight="1" spans="1:6">
      <c r="A3977" s="9">
        <v>3974</v>
      </c>
      <c r="B3977" s="10" t="s">
        <v>3779</v>
      </c>
      <c r="C3977" s="10" t="s">
        <v>3780</v>
      </c>
      <c r="D3977" s="10" t="s">
        <v>3911</v>
      </c>
      <c r="E3977" s="10" t="str">
        <f>"644020240513091902172693"</f>
        <v>644020240513091902172693</v>
      </c>
      <c r="F3977" s="9"/>
    </row>
    <row r="3978" s="2" customFormat="1" ht="30" customHeight="1" spans="1:6">
      <c r="A3978" s="9">
        <v>3975</v>
      </c>
      <c r="B3978" s="10" t="s">
        <v>3779</v>
      </c>
      <c r="C3978" s="10" t="s">
        <v>3780</v>
      </c>
      <c r="D3978" s="10" t="s">
        <v>3912</v>
      </c>
      <c r="E3978" s="10" t="str">
        <f>"644020240513081738172238"</f>
        <v>644020240513081738172238</v>
      </c>
      <c r="F3978" s="9"/>
    </row>
    <row r="3979" s="2" customFormat="1" ht="30" customHeight="1" spans="1:6">
      <c r="A3979" s="9">
        <v>3976</v>
      </c>
      <c r="B3979" s="10" t="s">
        <v>3779</v>
      </c>
      <c r="C3979" s="10" t="s">
        <v>3780</v>
      </c>
      <c r="D3979" s="10" t="s">
        <v>3913</v>
      </c>
      <c r="E3979" s="10" t="str">
        <f>"644020240513092310172742"</f>
        <v>644020240513092310172742</v>
      </c>
      <c r="F3979" s="9"/>
    </row>
    <row r="3980" s="2" customFormat="1" ht="30" customHeight="1" spans="1:6">
      <c r="A3980" s="9">
        <v>3977</v>
      </c>
      <c r="B3980" s="10" t="s">
        <v>3779</v>
      </c>
      <c r="C3980" s="10" t="s">
        <v>3780</v>
      </c>
      <c r="D3980" s="10" t="s">
        <v>3914</v>
      </c>
      <c r="E3980" s="10" t="str">
        <f>"644020240513095831173105"</f>
        <v>644020240513095831173105</v>
      </c>
      <c r="F3980" s="9"/>
    </row>
    <row r="3981" s="2" customFormat="1" ht="30" customHeight="1" spans="1:6">
      <c r="A3981" s="9">
        <v>3978</v>
      </c>
      <c r="B3981" s="10" t="s">
        <v>3779</v>
      </c>
      <c r="C3981" s="10" t="s">
        <v>3780</v>
      </c>
      <c r="D3981" s="10" t="s">
        <v>3915</v>
      </c>
      <c r="E3981" s="10" t="str">
        <f>"644020240512230011171674"</f>
        <v>644020240512230011171674</v>
      </c>
      <c r="F3981" s="9"/>
    </row>
    <row r="3982" s="2" customFormat="1" ht="30" customHeight="1" spans="1:6">
      <c r="A3982" s="9">
        <v>3979</v>
      </c>
      <c r="B3982" s="10" t="s">
        <v>3779</v>
      </c>
      <c r="C3982" s="10" t="s">
        <v>3780</v>
      </c>
      <c r="D3982" s="10" t="s">
        <v>3916</v>
      </c>
      <c r="E3982" s="10" t="str">
        <f>"644020240513095136173036"</f>
        <v>644020240513095136173036</v>
      </c>
      <c r="F3982" s="9"/>
    </row>
    <row r="3983" s="2" customFormat="1" ht="30" customHeight="1" spans="1:6">
      <c r="A3983" s="9">
        <v>3980</v>
      </c>
      <c r="B3983" s="10" t="s">
        <v>3779</v>
      </c>
      <c r="C3983" s="10" t="s">
        <v>3780</v>
      </c>
      <c r="D3983" s="10" t="s">
        <v>3917</v>
      </c>
      <c r="E3983" s="10" t="str">
        <f>"644020240513095053173030"</f>
        <v>644020240513095053173030</v>
      </c>
      <c r="F3983" s="9"/>
    </row>
    <row r="3984" s="2" customFormat="1" ht="30" customHeight="1" spans="1:6">
      <c r="A3984" s="9">
        <v>3981</v>
      </c>
      <c r="B3984" s="10" t="s">
        <v>3779</v>
      </c>
      <c r="C3984" s="10" t="s">
        <v>3780</v>
      </c>
      <c r="D3984" s="10" t="s">
        <v>3918</v>
      </c>
      <c r="E3984" s="10" t="str">
        <f>"644020240513103939173499"</f>
        <v>644020240513103939173499</v>
      </c>
      <c r="F3984" s="9"/>
    </row>
    <row r="3985" s="2" customFormat="1" ht="30" customHeight="1" spans="1:6">
      <c r="A3985" s="9">
        <v>3982</v>
      </c>
      <c r="B3985" s="10" t="s">
        <v>3779</v>
      </c>
      <c r="C3985" s="10" t="s">
        <v>3780</v>
      </c>
      <c r="D3985" s="10" t="s">
        <v>3919</v>
      </c>
      <c r="E3985" s="10" t="str">
        <f>"644020240513100639173178"</f>
        <v>644020240513100639173178</v>
      </c>
      <c r="F3985" s="9"/>
    </row>
    <row r="3986" s="2" customFormat="1" ht="30" customHeight="1" spans="1:6">
      <c r="A3986" s="9">
        <v>3983</v>
      </c>
      <c r="B3986" s="10" t="s">
        <v>3779</v>
      </c>
      <c r="C3986" s="10" t="s">
        <v>3780</v>
      </c>
      <c r="D3986" s="10" t="s">
        <v>3920</v>
      </c>
      <c r="E3986" s="10" t="str">
        <f>"644020240513100041173121"</f>
        <v>644020240513100041173121</v>
      </c>
      <c r="F3986" s="9"/>
    </row>
    <row r="3987" s="2" customFormat="1" ht="30" customHeight="1" spans="1:6">
      <c r="A3987" s="9">
        <v>3984</v>
      </c>
      <c r="B3987" s="10" t="s">
        <v>3779</v>
      </c>
      <c r="C3987" s="10" t="s">
        <v>3780</v>
      </c>
      <c r="D3987" s="10" t="s">
        <v>3921</v>
      </c>
      <c r="E3987" s="10" t="str">
        <f>"644020240513102943173417"</f>
        <v>644020240513102943173417</v>
      </c>
      <c r="F3987" s="9"/>
    </row>
    <row r="3988" s="2" customFormat="1" ht="30" customHeight="1" spans="1:6">
      <c r="A3988" s="9">
        <v>3985</v>
      </c>
      <c r="B3988" s="10" t="s">
        <v>3779</v>
      </c>
      <c r="C3988" s="10" t="s">
        <v>3780</v>
      </c>
      <c r="D3988" s="10" t="s">
        <v>3922</v>
      </c>
      <c r="E3988" s="10" t="str">
        <f>"644020240513102541173368"</f>
        <v>644020240513102541173368</v>
      </c>
      <c r="F3988" s="9"/>
    </row>
    <row r="3989" s="2" customFormat="1" ht="30" customHeight="1" spans="1:6">
      <c r="A3989" s="9">
        <v>3986</v>
      </c>
      <c r="B3989" s="10" t="s">
        <v>3779</v>
      </c>
      <c r="C3989" s="10" t="s">
        <v>3780</v>
      </c>
      <c r="D3989" s="10" t="s">
        <v>3923</v>
      </c>
      <c r="E3989" s="10" t="str">
        <f>"644020240513104052173515"</f>
        <v>644020240513104052173515</v>
      </c>
      <c r="F3989" s="9"/>
    </row>
    <row r="3990" s="2" customFormat="1" ht="30" customHeight="1" spans="1:6">
      <c r="A3990" s="9">
        <v>3987</v>
      </c>
      <c r="B3990" s="10" t="s">
        <v>3779</v>
      </c>
      <c r="C3990" s="10" t="s">
        <v>3780</v>
      </c>
      <c r="D3990" s="10" t="s">
        <v>3924</v>
      </c>
      <c r="E3990" s="10" t="str">
        <f>"644020240513102359173351"</f>
        <v>644020240513102359173351</v>
      </c>
      <c r="F3990" s="9"/>
    </row>
    <row r="3991" s="2" customFormat="1" ht="30" customHeight="1" spans="1:6">
      <c r="A3991" s="9">
        <v>3988</v>
      </c>
      <c r="B3991" s="10" t="s">
        <v>3779</v>
      </c>
      <c r="C3991" s="10" t="s">
        <v>3780</v>
      </c>
      <c r="D3991" s="10" t="s">
        <v>3925</v>
      </c>
      <c r="E3991" s="10" t="str">
        <f>"644020240513111150173800"</f>
        <v>644020240513111150173800</v>
      </c>
      <c r="F3991" s="9"/>
    </row>
    <row r="3992" s="2" customFormat="1" ht="30" customHeight="1" spans="1:6">
      <c r="A3992" s="9">
        <v>3989</v>
      </c>
      <c r="B3992" s="10" t="s">
        <v>3779</v>
      </c>
      <c r="C3992" s="10" t="s">
        <v>3780</v>
      </c>
      <c r="D3992" s="10" t="s">
        <v>3926</v>
      </c>
      <c r="E3992" s="10" t="str">
        <f>"644020240513100513173161"</f>
        <v>644020240513100513173161</v>
      </c>
      <c r="F3992" s="9"/>
    </row>
    <row r="3993" s="2" customFormat="1" ht="30" customHeight="1" spans="1:6">
      <c r="A3993" s="9">
        <v>3990</v>
      </c>
      <c r="B3993" s="10" t="s">
        <v>3779</v>
      </c>
      <c r="C3993" s="10" t="s">
        <v>3780</v>
      </c>
      <c r="D3993" s="10" t="s">
        <v>3927</v>
      </c>
      <c r="E3993" s="10" t="str">
        <f>"644020240513110032173696"</f>
        <v>644020240513110032173696</v>
      </c>
      <c r="F3993" s="9"/>
    </row>
    <row r="3994" s="2" customFormat="1" ht="30" customHeight="1" spans="1:6">
      <c r="A3994" s="9">
        <v>3991</v>
      </c>
      <c r="B3994" s="10" t="s">
        <v>3779</v>
      </c>
      <c r="C3994" s="10" t="s">
        <v>3780</v>
      </c>
      <c r="D3994" s="10" t="s">
        <v>3928</v>
      </c>
      <c r="E3994" s="10" t="str">
        <f>"644020240513110332173722"</f>
        <v>644020240513110332173722</v>
      </c>
      <c r="F3994" s="9"/>
    </row>
    <row r="3995" s="2" customFormat="1" ht="30" customHeight="1" spans="1:6">
      <c r="A3995" s="9">
        <v>3992</v>
      </c>
      <c r="B3995" s="10" t="s">
        <v>3779</v>
      </c>
      <c r="C3995" s="10" t="s">
        <v>3780</v>
      </c>
      <c r="D3995" s="10" t="s">
        <v>3929</v>
      </c>
      <c r="E3995" s="10" t="str">
        <f>"644020240512120444169033"</f>
        <v>644020240512120444169033</v>
      </c>
      <c r="F3995" s="9"/>
    </row>
    <row r="3996" s="2" customFormat="1" ht="30" customHeight="1" spans="1:6">
      <c r="A3996" s="9">
        <v>3993</v>
      </c>
      <c r="B3996" s="10" t="s">
        <v>3779</v>
      </c>
      <c r="C3996" s="10" t="s">
        <v>3780</v>
      </c>
      <c r="D3996" s="10" t="s">
        <v>3930</v>
      </c>
      <c r="E3996" s="10" t="str">
        <f>"644020240513081800172242"</f>
        <v>644020240513081800172242</v>
      </c>
      <c r="F3996" s="9"/>
    </row>
    <row r="3997" s="2" customFormat="1" ht="30" customHeight="1" spans="1:6">
      <c r="A3997" s="9">
        <v>3994</v>
      </c>
      <c r="B3997" s="10" t="s">
        <v>3779</v>
      </c>
      <c r="C3997" s="10" t="s">
        <v>3780</v>
      </c>
      <c r="D3997" s="10" t="s">
        <v>3931</v>
      </c>
      <c r="E3997" s="10" t="str">
        <f>"644020240513105419173635"</f>
        <v>644020240513105419173635</v>
      </c>
      <c r="F3997" s="9"/>
    </row>
    <row r="3998" s="2" customFormat="1" ht="30" customHeight="1" spans="1:6">
      <c r="A3998" s="9">
        <v>3995</v>
      </c>
      <c r="B3998" s="10" t="s">
        <v>3779</v>
      </c>
      <c r="C3998" s="10" t="s">
        <v>3780</v>
      </c>
      <c r="D3998" s="10" t="s">
        <v>3932</v>
      </c>
      <c r="E3998" s="10" t="str">
        <f>"644020240513080501172199"</f>
        <v>644020240513080501172199</v>
      </c>
      <c r="F3998" s="9"/>
    </row>
    <row r="3999" s="2" customFormat="1" ht="30" customHeight="1" spans="1:6">
      <c r="A3999" s="9">
        <v>3996</v>
      </c>
      <c r="B3999" s="10" t="s">
        <v>3779</v>
      </c>
      <c r="C3999" s="10" t="s">
        <v>3780</v>
      </c>
      <c r="D3999" s="10" t="s">
        <v>3933</v>
      </c>
      <c r="E3999" s="10" t="str">
        <f>"644020240513103844173493"</f>
        <v>644020240513103844173493</v>
      </c>
      <c r="F3999" s="9"/>
    </row>
    <row r="4000" s="2" customFormat="1" ht="30" customHeight="1" spans="1:6">
      <c r="A4000" s="9">
        <v>3997</v>
      </c>
      <c r="B4000" s="10" t="s">
        <v>3779</v>
      </c>
      <c r="C4000" s="10" t="s">
        <v>3780</v>
      </c>
      <c r="D4000" s="10" t="s">
        <v>3934</v>
      </c>
      <c r="E4000" s="10" t="str">
        <f>"644020240513114325174050"</f>
        <v>644020240513114325174050</v>
      </c>
      <c r="F4000" s="9"/>
    </row>
    <row r="4001" s="2" customFormat="1" ht="30" customHeight="1" spans="1:6">
      <c r="A4001" s="9">
        <v>3998</v>
      </c>
      <c r="B4001" s="10" t="s">
        <v>3779</v>
      </c>
      <c r="C4001" s="10" t="s">
        <v>3780</v>
      </c>
      <c r="D4001" s="10" t="s">
        <v>3935</v>
      </c>
      <c r="E4001" s="10" t="str">
        <f>"644020240513111450173826"</f>
        <v>644020240513111450173826</v>
      </c>
      <c r="F4001" s="9"/>
    </row>
    <row r="4002" s="2" customFormat="1" ht="30" customHeight="1" spans="1:6">
      <c r="A4002" s="9">
        <v>3999</v>
      </c>
      <c r="B4002" s="10" t="s">
        <v>3779</v>
      </c>
      <c r="C4002" s="10" t="s">
        <v>3780</v>
      </c>
      <c r="D4002" s="10" t="s">
        <v>3936</v>
      </c>
      <c r="E4002" s="10" t="str">
        <f>"644020240513115309174109"</f>
        <v>644020240513115309174109</v>
      </c>
      <c r="F4002" s="9"/>
    </row>
    <row r="4003" s="2" customFormat="1" ht="30" customHeight="1" spans="1:6">
      <c r="A4003" s="9">
        <v>4000</v>
      </c>
      <c r="B4003" s="10" t="s">
        <v>3779</v>
      </c>
      <c r="C4003" s="10" t="s">
        <v>3780</v>
      </c>
      <c r="D4003" s="10" t="s">
        <v>3937</v>
      </c>
      <c r="E4003" s="10" t="str">
        <f>"644020240513113830174020"</f>
        <v>644020240513113830174020</v>
      </c>
      <c r="F4003" s="9"/>
    </row>
    <row r="4004" s="2" customFormat="1" ht="30" customHeight="1" spans="1:6">
      <c r="A4004" s="9">
        <v>4001</v>
      </c>
      <c r="B4004" s="10" t="s">
        <v>3779</v>
      </c>
      <c r="C4004" s="10" t="s">
        <v>3780</v>
      </c>
      <c r="D4004" s="10" t="s">
        <v>3938</v>
      </c>
      <c r="E4004" s="10" t="str">
        <f>"644020240512173523170234"</f>
        <v>644020240512173523170234</v>
      </c>
      <c r="F4004" s="9"/>
    </row>
    <row r="4005" s="2" customFormat="1" ht="30" customHeight="1" spans="1:6">
      <c r="A4005" s="9">
        <v>4002</v>
      </c>
      <c r="B4005" s="10" t="s">
        <v>3779</v>
      </c>
      <c r="C4005" s="10" t="s">
        <v>3780</v>
      </c>
      <c r="D4005" s="10" t="s">
        <v>3939</v>
      </c>
      <c r="E4005" s="10" t="str">
        <f>"644020240513120609174169"</f>
        <v>644020240513120609174169</v>
      </c>
      <c r="F4005" s="9"/>
    </row>
    <row r="4006" s="2" customFormat="1" ht="30" customHeight="1" spans="1:6">
      <c r="A4006" s="9">
        <v>4003</v>
      </c>
      <c r="B4006" s="10" t="s">
        <v>3779</v>
      </c>
      <c r="C4006" s="10" t="s">
        <v>3780</v>
      </c>
      <c r="D4006" s="10" t="s">
        <v>3940</v>
      </c>
      <c r="E4006" s="10" t="str">
        <f>"644020240513121720174230"</f>
        <v>644020240513121720174230</v>
      </c>
      <c r="F4006" s="9"/>
    </row>
    <row r="4007" s="2" customFormat="1" ht="30" customHeight="1" spans="1:6">
      <c r="A4007" s="9">
        <v>4004</v>
      </c>
      <c r="B4007" s="10" t="s">
        <v>3779</v>
      </c>
      <c r="C4007" s="10" t="s">
        <v>3780</v>
      </c>
      <c r="D4007" s="10" t="s">
        <v>3941</v>
      </c>
      <c r="E4007" s="10" t="str">
        <f>"644020240513115604174118"</f>
        <v>644020240513115604174118</v>
      </c>
      <c r="F4007" s="9"/>
    </row>
    <row r="4008" s="2" customFormat="1" ht="30" customHeight="1" spans="1:6">
      <c r="A4008" s="9">
        <v>4005</v>
      </c>
      <c r="B4008" s="10" t="s">
        <v>3779</v>
      </c>
      <c r="C4008" s="10" t="s">
        <v>3780</v>
      </c>
      <c r="D4008" s="10" t="s">
        <v>1772</v>
      </c>
      <c r="E4008" s="10" t="str">
        <f>"644020240513113244173979"</f>
        <v>644020240513113244173979</v>
      </c>
      <c r="F4008" s="9"/>
    </row>
    <row r="4009" s="2" customFormat="1" ht="30" customHeight="1" spans="1:6">
      <c r="A4009" s="9">
        <v>4006</v>
      </c>
      <c r="B4009" s="10" t="s">
        <v>3779</v>
      </c>
      <c r="C4009" s="10" t="s">
        <v>3780</v>
      </c>
      <c r="D4009" s="10" t="s">
        <v>3942</v>
      </c>
      <c r="E4009" s="10" t="str">
        <f>"644020240512182511170379"</f>
        <v>644020240512182511170379</v>
      </c>
      <c r="F4009" s="9"/>
    </row>
    <row r="4010" s="2" customFormat="1" ht="30" customHeight="1" spans="1:6">
      <c r="A4010" s="9">
        <v>4007</v>
      </c>
      <c r="B4010" s="10" t="s">
        <v>3779</v>
      </c>
      <c r="C4010" s="10" t="s">
        <v>3780</v>
      </c>
      <c r="D4010" s="10" t="s">
        <v>3943</v>
      </c>
      <c r="E4010" s="10" t="str">
        <f>"644020240512221303171404"</f>
        <v>644020240512221303171404</v>
      </c>
      <c r="F4010" s="9"/>
    </row>
    <row r="4011" s="2" customFormat="1" ht="30" customHeight="1" spans="1:6">
      <c r="A4011" s="9">
        <v>4008</v>
      </c>
      <c r="B4011" s="10" t="s">
        <v>3779</v>
      </c>
      <c r="C4011" s="10" t="s">
        <v>3780</v>
      </c>
      <c r="D4011" s="10" t="s">
        <v>3944</v>
      </c>
      <c r="E4011" s="10" t="str">
        <f>"644020240513122535174273"</f>
        <v>644020240513122535174273</v>
      </c>
      <c r="F4011" s="9"/>
    </row>
    <row r="4012" s="2" customFormat="1" ht="30" customHeight="1" spans="1:6">
      <c r="A4012" s="9">
        <v>4009</v>
      </c>
      <c r="B4012" s="10" t="s">
        <v>3779</v>
      </c>
      <c r="C4012" s="10" t="s">
        <v>3780</v>
      </c>
      <c r="D4012" s="10" t="s">
        <v>1590</v>
      </c>
      <c r="E4012" s="10" t="str">
        <f>"644020240513124222174375"</f>
        <v>644020240513124222174375</v>
      </c>
      <c r="F4012" s="9"/>
    </row>
    <row r="4013" s="2" customFormat="1" ht="30" customHeight="1" spans="1:6">
      <c r="A4013" s="9">
        <v>4010</v>
      </c>
      <c r="B4013" s="10" t="s">
        <v>3779</v>
      </c>
      <c r="C4013" s="10" t="s">
        <v>3780</v>
      </c>
      <c r="D4013" s="10" t="s">
        <v>3945</v>
      </c>
      <c r="E4013" s="10" t="str">
        <f>"644020240513122640174278"</f>
        <v>644020240513122640174278</v>
      </c>
      <c r="F4013" s="9"/>
    </row>
    <row r="4014" s="2" customFormat="1" ht="30" customHeight="1" spans="1:6">
      <c r="A4014" s="9">
        <v>4011</v>
      </c>
      <c r="B4014" s="10" t="s">
        <v>3779</v>
      </c>
      <c r="C4014" s="10" t="s">
        <v>3780</v>
      </c>
      <c r="D4014" s="10" t="s">
        <v>3946</v>
      </c>
      <c r="E4014" s="10" t="str">
        <f>"644020240513085836172464"</f>
        <v>644020240513085836172464</v>
      </c>
      <c r="F4014" s="9"/>
    </row>
    <row r="4015" s="2" customFormat="1" ht="30" customHeight="1" spans="1:6">
      <c r="A4015" s="9">
        <v>4012</v>
      </c>
      <c r="B4015" s="10" t="s">
        <v>3779</v>
      </c>
      <c r="C4015" s="10" t="s">
        <v>3780</v>
      </c>
      <c r="D4015" s="10" t="s">
        <v>3947</v>
      </c>
      <c r="E4015" s="10" t="str">
        <f>"644020240513125002174443"</f>
        <v>644020240513125002174443</v>
      </c>
      <c r="F4015" s="9"/>
    </row>
    <row r="4016" s="2" customFormat="1" ht="30" customHeight="1" spans="1:6">
      <c r="A4016" s="9">
        <v>4013</v>
      </c>
      <c r="B4016" s="10" t="s">
        <v>3779</v>
      </c>
      <c r="C4016" s="10" t="s">
        <v>3780</v>
      </c>
      <c r="D4016" s="10" t="s">
        <v>3948</v>
      </c>
      <c r="E4016" s="10" t="str">
        <f>"644020240513114643174069"</f>
        <v>644020240513114643174069</v>
      </c>
      <c r="F4016" s="9"/>
    </row>
    <row r="4017" s="2" customFormat="1" ht="30" customHeight="1" spans="1:6">
      <c r="A4017" s="9">
        <v>4014</v>
      </c>
      <c r="B4017" s="10" t="s">
        <v>3779</v>
      </c>
      <c r="C4017" s="10" t="s">
        <v>3780</v>
      </c>
      <c r="D4017" s="10" t="s">
        <v>3949</v>
      </c>
      <c r="E4017" s="10" t="str">
        <f>"644020240513130516174547"</f>
        <v>644020240513130516174547</v>
      </c>
      <c r="F4017" s="9"/>
    </row>
    <row r="4018" s="2" customFormat="1" ht="30" customHeight="1" spans="1:6">
      <c r="A4018" s="9">
        <v>4015</v>
      </c>
      <c r="B4018" s="10" t="s">
        <v>3779</v>
      </c>
      <c r="C4018" s="10" t="s">
        <v>3780</v>
      </c>
      <c r="D4018" s="10" t="s">
        <v>3950</v>
      </c>
      <c r="E4018" s="10" t="str">
        <f>"644020240513125932174516"</f>
        <v>644020240513125932174516</v>
      </c>
      <c r="F4018" s="9"/>
    </row>
    <row r="4019" s="2" customFormat="1" ht="30" customHeight="1" spans="1:6">
      <c r="A4019" s="9">
        <v>4016</v>
      </c>
      <c r="B4019" s="10" t="s">
        <v>3779</v>
      </c>
      <c r="C4019" s="10" t="s">
        <v>3780</v>
      </c>
      <c r="D4019" s="10" t="s">
        <v>3951</v>
      </c>
      <c r="E4019" s="10" t="str">
        <f>"644020240513130928174575"</f>
        <v>644020240513130928174575</v>
      </c>
      <c r="F4019" s="9"/>
    </row>
    <row r="4020" s="2" customFormat="1" ht="30" customHeight="1" spans="1:6">
      <c r="A4020" s="9">
        <v>4017</v>
      </c>
      <c r="B4020" s="10" t="s">
        <v>3779</v>
      </c>
      <c r="C4020" s="10" t="s">
        <v>3780</v>
      </c>
      <c r="D4020" s="10" t="s">
        <v>3952</v>
      </c>
      <c r="E4020" s="10" t="str">
        <f>"644020240513120920174185"</f>
        <v>644020240513120920174185</v>
      </c>
      <c r="F4020" s="9"/>
    </row>
    <row r="4021" s="2" customFormat="1" ht="30" customHeight="1" spans="1:6">
      <c r="A4021" s="9">
        <v>4018</v>
      </c>
      <c r="B4021" s="10" t="s">
        <v>3779</v>
      </c>
      <c r="C4021" s="10" t="s">
        <v>3780</v>
      </c>
      <c r="D4021" s="10" t="s">
        <v>3953</v>
      </c>
      <c r="E4021" s="10" t="str">
        <f>"644020240513130458174545"</f>
        <v>644020240513130458174545</v>
      </c>
      <c r="F4021" s="9"/>
    </row>
    <row r="4022" s="2" customFormat="1" ht="30" customHeight="1" spans="1:6">
      <c r="A4022" s="9">
        <v>4019</v>
      </c>
      <c r="B4022" s="10" t="s">
        <v>3779</v>
      </c>
      <c r="C4022" s="10" t="s">
        <v>3780</v>
      </c>
      <c r="D4022" s="10" t="s">
        <v>3954</v>
      </c>
      <c r="E4022" s="10" t="str">
        <f>"644020240512180419170321"</f>
        <v>644020240512180419170321</v>
      </c>
      <c r="F4022" s="9"/>
    </row>
    <row r="4023" s="2" customFormat="1" ht="30" customHeight="1" spans="1:6">
      <c r="A4023" s="9">
        <v>4020</v>
      </c>
      <c r="B4023" s="10" t="s">
        <v>3779</v>
      </c>
      <c r="C4023" s="10" t="s">
        <v>3780</v>
      </c>
      <c r="D4023" s="10" t="s">
        <v>3955</v>
      </c>
      <c r="E4023" s="10" t="str">
        <f>"644020240513095537173081"</f>
        <v>644020240513095537173081</v>
      </c>
      <c r="F4023" s="9"/>
    </row>
    <row r="4024" s="2" customFormat="1" ht="30" customHeight="1" spans="1:6">
      <c r="A4024" s="9">
        <v>4021</v>
      </c>
      <c r="B4024" s="10" t="s">
        <v>3779</v>
      </c>
      <c r="C4024" s="10" t="s">
        <v>3780</v>
      </c>
      <c r="D4024" s="10" t="s">
        <v>3956</v>
      </c>
      <c r="E4024" s="10" t="str">
        <f>"644020240512223606171528"</f>
        <v>644020240512223606171528</v>
      </c>
      <c r="F4024" s="9"/>
    </row>
    <row r="4025" s="2" customFormat="1" ht="30" customHeight="1" spans="1:6">
      <c r="A4025" s="9">
        <v>4022</v>
      </c>
      <c r="B4025" s="10" t="s">
        <v>3779</v>
      </c>
      <c r="C4025" s="10" t="s">
        <v>3780</v>
      </c>
      <c r="D4025" s="10" t="s">
        <v>3957</v>
      </c>
      <c r="E4025" s="10" t="str">
        <f>"644020240513124109174364"</f>
        <v>644020240513124109174364</v>
      </c>
      <c r="F4025" s="9"/>
    </row>
    <row r="4026" s="2" customFormat="1" ht="30" customHeight="1" spans="1:6">
      <c r="A4026" s="9">
        <v>4023</v>
      </c>
      <c r="B4026" s="10" t="s">
        <v>3779</v>
      </c>
      <c r="C4026" s="10" t="s">
        <v>3780</v>
      </c>
      <c r="D4026" s="10" t="s">
        <v>3958</v>
      </c>
      <c r="E4026" s="10" t="str">
        <f>"644020240513142204174915"</f>
        <v>644020240513142204174915</v>
      </c>
      <c r="F4026" s="9"/>
    </row>
    <row r="4027" s="2" customFormat="1" ht="30" customHeight="1" spans="1:6">
      <c r="A4027" s="9">
        <v>4024</v>
      </c>
      <c r="B4027" s="10" t="s">
        <v>3779</v>
      </c>
      <c r="C4027" s="10" t="s">
        <v>3780</v>
      </c>
      <c r="D4027" s="10" t="s">
        <v>3959</v>
      </c>
      <c r="E4027" s="10" t="str">
        <f>"644020240512171204170144"</f>
        <v>644020240512171204170144</v>
      </c>
      <c r="F4027" s="9"/>
    </row>
    <row r="4028" s="2" customFormat="1" ht="30" customHeight="1" spans="1:6">
      <c r="A4028" s="9">
        <v>4025</v>
      </c>
      <c r="B4028" s="10" t="s">
        <v>3779</v>
      </c>
      <c r="C4028" s="10" t="s">
        <v>3780</v>
      </c>
      <c r="D4028" s="10" t="s">
        <v>3960</v>
      </c>
      <c r="E4028" s="10" t="str">
        <f>"644020240512152037169730"</f>
        <v>644020240512152037169730</v>
      </c>
      <c r="F4028" s="9"/>
    </row>
    <row r="4029" s="2" customFormat="1" ht="30" customHeight="1" spans="1:6">
      <c r="A4029" s="9">
        <v>4026</v>
      </c>
      <c r="B4029" s="10" t="s">
        <v>3779</v>
      </c>
      <c r="C4029" s="10" t="s">
        <v>3780</v>
      </c>
      <c r="D4029" s="10" t="s">
        <v>3961</v>
      </c>
      <c r="E4029" s="10" t="str">
        <f>"644020240513140029174792"</f>
        <v>644020240513140029174792</v>
      </c>
      <c r="F4029" s="9"/>
    </row>
    <row r="4030" s="2" customFormat="1" ht="30" customHeight="1" spans="1:6">
      <c r="A4030" s="9">
        <v>4027</v>
      </c>
      <c r="B4030" s="10" t="s">
        <v>3779</v>
      </c>
      <c r="C4030" s="10" t="s">
        <v>3780</v>
      </c>
      <c r="D4030" s="10" t="s">
        <v>3962</v>
      </c>
      <c r="E4030" s="10" t="str">
        <f>"644020240513101645173276"</f>
        <v>644020240513101645173276</v>
      </c>
      <c r="F4030" s="9"/>
    </row>
    <row r="4031" s="2" customFormat="1" ht="30" customHeight="1" spans="1:6">
      <c r="A4031" s="9">
        <v>4028</v>
      </c>
      <c r="B4031" s="10" t="s">
        <v>3779</v>
      </c>
      <c r="C4031" s="10" t="s">
        <v>3780</v>
      </c>
      <c r="D4031" s="10" t="s">
        <v>3963</v>
      </c>
      <c r="E4031" s="10" t="str">
        <f>"644020240513143332174991"</f>
        <v>644020240513143332174991</v>
      </c>
      <c r="F4031" s="9"/>
    </row>
    <row r="4032" s="2" customFormat="1" ht="30" customHeight="1" spans="1:6">
      <c r="A4032" s="9">
        <v>4029</v>
      </c>
      <c r="B4032" s="10" t="s">
        <v>3779</v>
      </c>
      <c r="C4032" s="10" t="s">
        <v>3780</v>
      </c>
      <c r="D4032" s="10" t="s">
        <v>3964</v>
      </c>
      <c r="E4032" s="10" t="str">
        <f>"644020240513113648174009"</f>
        <v>644020240513113648174009</v>
      </c>
      <c r="F4032" s="9"/>
    </row>
    <row r="4033" s="2" customFormat="1" ht="30" customHeight="1" spans="1:6">
      <c r="A4033" s="9">
        <v>4030</v>
      </c>
      <c r="B4033" s="10" t="s">
        <v>3779</v>
      </c>
      <c r="C4033" s="10" t="s">
        <v>3780</v>
      </c>
      <c r="D4033" s="10" t="s">
        <v>3965</v>
      </c>
      <c r="E4033" s="10" t="str">
        <f>"644020240513095317173056"</f>
        <v>644020240513095317173056</v>
      </c>
      <c r="F4033" s="9"/>
    </row>
    <row r="4034" s="2" customFormat="1" ht="30" customHeight="1" spans="1:6">
      <c r="A4034" s="9">
        <v>4031</v>
      </c>
      <c r="B4034" s="10" t="s">
        <v>3779</v>
      </c>
      <c r="C4034" s="10" t="s">
        <v>3780</v>
      </c>
      <c r="D4034" s="10" t="s">
        <v>3966</v>
      </c>
      <c r="E4034" s="10" t="str">
        <f>"644020240513084812172406"</f>
        <v>644020240513084812172406</v>
      </c>
      <c r="F4034" s="9"/>
    </row>
    <row r="4035" s="2" customFormat="1" ht="30" customHeight="1" spans="1:6">
      <c r="A4035" s="9">
        <v>4032</v>
      </c>
      <c r="B4035" s="10" t="s">
        <v>3779</v>
      </c>
      <c r="C4035" s="10" t="s">
        <v>3780</v>
      </c>
      <c r="D4035" s="10" t="s">
        <v>3967</v>
      </c>
      <c r="E4035" s="10" t="str">
        <f>"644020240513090805172576"</f>
        <v>644020240513090805172576</v>
      </c>
      <c r="F4035" s="9"/>
    </row>
    <row r="4036" s="2" customFormat="1" ht="30" customHeight="1" spans="1:6">
      <c r="A4036" s="9">
        <v>4033</v>
      </c>
      <c r="B4036" s="10" t="s">
        <v>3779</v>
      </c>
      <c r="C4036" s="10" t="s">
        <v>3780</v>
      </c>
      <c r="D4036" s="10" t="s">
        <v>3968</v>
      </c>
      <c r="E4036" s="10" t="str">
        <f>"644020240513142512174934"</f>
        <v>644020240513142512174934</v>
      </c>
      <c r="F4036" s="9"/>
    </row>
    <row r="4037" s="2" customFormat="1" ht="30" customHeight="1" spans="1:6">
      <c r="A4037" s="9">
        <v>4034</v>
      </c>
      <c r="B4037" s="10" t="s">
        <v>3779</v>
      </c>
      <c r="C4037" s="10" t="s">
        <v>3780</v>
      </c>
      <c r="D4037" s="10" t="s">
        <v>3969</v>
      </c>
      <c r="E4037" s="10" t="str">
        <f>"644020240513150955175274"</f>
        <v>644020240513150955175274</v>
      </c>
      <c r="F4037" s="9"/>
    </row>
    <row r="4038" s="2" customFormat="1" ht="30" customHeight="1" spans="1:6">
      <c r="A4038" s="9">
        <v>4035</v>
      </c>
      <c r="B4038" s="10" t="s">
        <v>3779</v>
      </c>
      <c r="C4038" s="10" t="s">
        <v>3780</v>
      </c>
      <c r="D4038" s="10" t="s">
        <v>3970</v>
      </c>
      <c r="E4038" s="10" t="str">
        <f>"644020240512130835169271"</f>
        <v>644020240512130835169271</v>
      </c>
      <c r="F4038" s="9"/>
    </row>
    <row r="4039" s="2" customFormat="1" ht="30" customHeight="1" spans="1:6">
      <c r="A4039" s="9">
        <v>4036</v>
      </c>
      <c r="B4039" s="10" t="s">
        <v>3779</v>
      </c>
      <c r="C4039" s="10" t="s">
        <v>3780</v>
      </c>
      <c r="D4039" s="10" t="s">
        <v>732</v>
      </c>
      <c r="E4039" s="10" t="str">
        <f>"644020240513152154175389"</f>
        <v>644020240513152154175389</v>
      </c>
      <c r="F4039" s="9"/>
    </row>
    <row r="4040" s="2" customFormat="1" ht="30" customHeight="1" spans="1:6">
      <c r="A4040" s="9">
        <v>4037</v>
      </c>
      <c r="B4040" s="10" t="s">
        <v>3779</v>
      </c>
      <c r="C4040" s="10" t="s">
        <v>3780</v>
      </c>
      <c r="D4040" s="10" t="s">
        <v>3971</v>
      </c>
      <c r="E4040" s="10" t="str">
        <f>"644020240513121732174232"</f>
        <v>644020240513121732174232</v>
      </c>
      <c r="F4040" s="9"/>
    </row>
    <row r="4041" s="2" customFormat="1" ht="30" customHeight="1" spans="1:6">
      <c r="A4041" s="9">
        <v>4038</v>
      </c>
      <c r="B4041" s="10" t="s">
        <v>3779</v>
      </c>
      <c r="C4041" s="10" t="s">
        <v>3780</v>
      </c>
      <c r="D4041" s="10" t="s">
        <v>3972</v>
      </c>
      <c r="E4041" s="10" t="str">
        <f>"644020240513152813175445"</f>
        <v>644020240513152813175445</v>
      </c>
      <c r="F4041" s="9"/>
    </row>
    <row r="4042" s="2" customFormat="1" ht="30" customHeight="1" spans="1:6">
      <c r="A4042" s="9">
        <v>4039</v>
      </c>
      <c r="B4042" s="10" t="s">
        <v>3779</v>
      </c>
      <c r="C4042" s="10" t="s">
        <v>3780</v>
      </c>
      <c r="D4042" s="10" t="s">
        <v>3973</v>
      </c>
      <c r="E4042" s="10" t="str">
        <f>"644020240513110844173763"</f>
        <v>644020240513110844173763</v>
      </c>
      <c r="F4042" s="9"/>
    </row>
    <row r="4043" s="2" customFormat="1" ht="30" customHeight="1" spans="1:6">
      <c r="A4043" s="9">
        <v>4040</v>
      </c>
      <c r="B4043" s="10" t="s">
        <v>3779</v>
      </c>
      <c r="C4043" s="10" t="s">
        <v>3780</v>
      </c>
      <c r="D4043" s="10" t="s">
        <v>3974</v>
      </c>
      <c r="E4043" s="10" t="str">
        <f>"644020240513150601175236"</f>
        <v>644020240513150601175236</v>
      </c>
      <c r="F4043" s="9"/>
    </row>
    <row r="4044" s="2" customFormat="1" ht="30" customHeight="1" spans="1:6">
      <c r="A4044" s="9">
        <v>4041</v>
      </c>
      <c r="B4044" s="10" t="s">
        <v>3779</v>
      </c>
      <c r="C4044" s="10" t="s">
        <v>3780</v>
      </c>
      <c r="D4044" s="10" t="s">
        <v>3975</v>
      </c>
      <c r="E4044" s="10" t="str">
        <f>"644020240513153038175473"</f>
        <v>644020240513153038175473</v>
      </c>
      <c r="F4044" s="9"/>
    </row>
    <row r="4045" s="2" customFormat="1" ht="30" customHeight="1" spans="1:6">
      <c r="A4045" s="9">
        <v>4042</v>
      </c>
      <c r="B4045" s="10" t="s">
        <v>3779</v>
      </c>
      <c r="C4045" s="10" t="s">
        <v>3780</v>
      </c>
      <c r="D4045" s="10" t="s">
        <v>3976</v>
      </c>
      <c r="E4045" s="10" t="str">
        <f>"644020240512093327168257"</f>
        <v>644020240512093327168257</v>
      </c>
      <c r="F4045" s="9"/>
    </row>
    <row r="4046" s="2" customFormat="1" ht="30" customHeight="1" spans="1:6">
      <c r="A4046" s="9">
        <v>4043</v>
      </c>
      <c r="B4046" s="10" t="s">
        <v>3779</v>
      </c>
      <c r="C4046" s="10" t="s">
        <v>3780</v>
      </c>
      <c r="D4046" s="10" t="s">
        <v>3977</v>
      </c>
      <c r="E4046" s="10" t="str">
        <f>"644020240513112402173913"</f>
        <v>644020240513112402173913</v>
      </c>
      <c r="F4046" s="9"/>
    </row>
    <row r="4047" s="2" customFormat="1" ht="30" customHeight="1" spans="1:6">
      <c r="A4047" s="9">
        <v>4044</v>
      </c>
      <c r="B4047" s="10" t="s">
        <v>3779</v>
      </c>
      <c r="C4047" s="10" t="s">
        <v>3780</v>
      </c>
      <c r="D4047" s="10" t="s">
        <v>3978</v>
      </c>
      <c r="E4047" s="10" t="str">
        <f>"644020240512110006168723"</f>
        <v>644020240512110006168723</v>
      </c>
      <c r="F4047" s="9"/>
    </row>
    <row r="4048" s="2" customFormat="1" ht="30" customHeight="1" spans="1:6">
      <c r="A4048" s="9">
        <v>4045</v>
      </c>
      <c r="B4048" s="10" t="s">
        <v>3779</v>
      </c>
      <c r="C4048" s="10" t="s">
        <v>3780</v>
      </c>
      <c r="D4048" s="10" t="s">
        <v>3979</v>
      </c>
      <c r="E4048" s="10" t="str">
        <f>"644020240513152656175433"</f>
        <v>644020240513152656175433</v>
      </c>
      <c r="F4048" s="9"/>
    </row>
    <row r="4049" s="2" customFormat="1" ht="30" customHeight="1" spans="1:6">
      <c r="A4049" s="9">
        <v>4046</v>
      </c>
      <c r="B4049" s="10" t="s">
        <v>3779</v>
      </c>
      <c r="C4049" s="10" t="s">
        <v>3780</v>
      </c>
      <c r="D4049" s="10" t="s">
        <v>3980</v>
      </c>
      <c r="E4049" s="10" t="str">
        <f>"644020240513150214175203"</f>
        <v>644020240513150214175203</v>
      </c>
      <c r="F4049" s="9"/>
    </row>
    <row r="4050" s="2" customFormat="1" ht="30" customHeight="1" spans="1:6">
      <c r="A4050" s="9">
        <v>4047</v>
      </c>
      <c r="B4050" s="10" t="s">
        <v>3779</v>
      </c>
      <c r="C4050" s="10" t="s">
        <v>3780</v>
      </c>
      <c r="D4050" s="10" t="s">
        <v>3981</v>
      </c>
      <c r="E4050" s="10" t="str">
        <f>"644020240512211900171088"</f>
        <v>644020240512211900171088</v>
      </c>
      <c r="F4050" s="9"/>
    </row>
    <row r="4051" s="2" customFormat="1" ht="30" customHeight="1" spans="1:6">
      <c r="A4051" s="9">
        <v>4048</v>
      </c>
      <c r="B4051" s="10" t="s">
        <v>3779</v>
      </c>
      <c r="C4051" s="10" t="s">
        <v>3780</v>
      </c>
      <c r="D4051" s="10" t="s">
        <v>3982</v>
      </c>
      <c r="E4051" s="10" t="str">
        <f>"644020240513163320175954"</f>
        <v>644020240513163320175954</v>
      </c>
      <c r="F4051" s="9"/>
    </row>
    <row r="4052" s="2" customFormat="1" ht="30" customHeight="1" spans="1:6">
      <c r="A4052" s="9">
        <v>4049</v>
      </c>
      <c r="B4052" s="10" t="s">
        <v>3779</v>
      </c>
      <c r="C4052" s="10" t="s">
        <v>3780</v>
      </c>
      <c r="D4052" s="10" t="s">
        <v>3983</v>
      </c>
      <c r="E4052" s="10" t="str">
        <f>"644020240513162600175917"</f>
        <v>644020240513162600175917</v>
      </c>
      <c r="F4052" s="9"/>
    </row>
    <row r="4053" s="2" customFormat="1" ht="30" customHeight="1" spans="1:6">
      <c r="A4053" s="9">
        <v>4050</v>
      </c>
      <c r="B4053" s="10" t="s">
        <v>3779</v>
      </c>
      <c r="C4053" s="10" t="s">
        <v>3780</v>
      </c>
      <c r="D4053" s="10" t="s">
        <v>3984</v>
      </c>
      <c r="E4053" s="10" t="str">
        <f>"644020240512093752168283"</f>
        <v>644020240512093752168283</v>
      </c>
      <c r="F4053" s="9"/>
    </row>
    <row r="4054" s="2" customFormat="1" ht="30" customHeight="1" spans="1:6">
      <c r="A4054" s="9">
        <v>4051</v>
      </c>
      <c r="B4054" s="10" t="s">
        <v>3779</v>
      </c>
      <c r="C4054" s="10" t="s">
        <v>3780</v>
      </c>
      <c r="D4054" s="10" t="s">
        <v>3985</v>
      </c>
      <c r="E4054" s="10" t="str">
        <f>"644020240513163239175951"</f>
        <v>644020240513163239175951</v>
      </c>
      <c r="F4054" s="9"/>
    </row>
    <row r="4055" s="2" customFormat="1" ht="30" customHeight="1" spans="1:6">
      <c r="A4055" s="9">
        <v>4052</v>
      </c>
      <c r="B4055" s="10" t="s">
        <v>3779</v>
      </c>
      <c r="C4055" s="10" t="s">
        <v>3780</v>
      </c>
      <c r="D4055" s="10" t="s">
        <v>3986</v>
      </c>
      <c r="E4055" s="10" t="str">
        <f>"644020240513162505175914"</f>
        <v>644020240513162505175914</v>
      </c>
      <c r="F4055" s="9"/>
    </row>
    <row r="4056" s="2" customFormat="1" ht="30" customHeight="1" spans="1:6">
      <c r="A4056" s="9">
        <v>4053</v>
      </c>
      <c r="B4056" s="10" t="s">
        <v>3779</v>
      </c>
      <c r="C4056" s="10" t="s">
        <v>3780</v>
      </c>
      <c r="D4056" s="10" t="s">
        <v>3987</v>
      </c>
      <c r="E4056" s="10" t="str">
        <f>"644020240513155332175721"</f>
        <v>644020240513155332175721</v>
      </c>
      <c r="F4056" s="9"/>
    </row>
    <row r="4057" s="2" customFormat="1" ht="30" customHeight="1" spans="1:6">
      <c r="A4057" s="9">
        <v>4054</v>
      </c>
      <c r="B4057" s="10" t="s">
        <v>3779</v>
      </c>
      <c r="C4057" s="10" t="s">
        <v>3780</v>
      </c>
      <c r="D4057" s="10" t="s">
        <v>3988</v>
      </c>
      <c r="E4057" s="10" t="str">
        <f>"644020240513164318176014"</f>
        <v>644020240513164318176014</v>
      </c>
      <c r="F4057" s="9"/>
    </row>
    <row r="4058" s="2" customFormat="1" ht="30" customHeight="1" spans="1:6">
      <c r="A4058" s="9">
        <v>4055</v>
      </c>
      <c r="B4058" s="10" t="s">
        <v>3779</v>
      </c>
      <c r="C4058" s="10" t="s">
        <v>3780</v>
      </c>
      <c r="D4058" s="10" t="s">
        <v>3989</v>
      </c>
      <c r="E4058" s="10" t="str">
        <f>"644020240513163940175994"</f>
        <v>644020240513163940175994</v>
      </c>
      <c r="F4058" s="9"/>
    </row>
    <row r="4059" s="2" customFormat="1" ht="30" customHeight="1" spans="1:6">
      <c r="A4059" s="9">
        <v>4056</v>
      </c>
      <c r="B4059" s="10" t="s">
        <v>3779</v>
      </c>
      <c r="C4059" s="10" t="s">
        <v>3780</v>
      </c>
      <c r="D4059" s="10" t="s">
        <v>3990</v>
      </c>
      <c r="E4059" s="10" t="str">
        <f>"644020240513154044175576"</f>
        <v>644020240513154044175576</v>
      </c>
      <c r="F4059" s="9"/>
    </row>
    <row r="4060" s="2" customFormat="1" ht="30" customHeight="1" spans="1:6">
      <c r="A4060" s="9">
        <v>4057</v>
      </c>
      <c r="B4060" s="10" t="s">
        <v>3779</v>
      </c>
      <c r="C4060" s="10" t="s">
        <v>3780</v>
      </c>
      <c r="D4060" s="10" t="s">
        <v>3991</v>
      </c>
      <c r="E4060" s="10" t="str">
        <f>"644020240513163929175992"</f>
        <v>644020240513163929175992</v>
      </c>
      <c r="F4060" s="9"/>
    </row>
    <row r="4061" s="2" customFormat="1" ht="30" customHeight="1" spans="1:6">
      <c r="A4061" s="9">
        <v>4058</v>
      </c>
      <c r="B4061" s="10" t="s">
        <v>3779</v>
      </c>
      <c r="C4061" s="10" t="s">
        <v>3780</v>
      </c>
      <c r="D4061" s="10" t="s">
        <v>3992</v>
      </c>
      <c r="E4061" s="10" t="str">
        <f>"644020240513144632175084"</f>
        <v>644020240513144632175084</v>
      </c>
      <c r="F4061" s="9"/>
    </row>
    <row r="4062" s="2" customFormat="1" ht="30" customHeight="1" spans="1:6">
      <c r="A4062" s="9">
        <v>4059</v>
      </c>
      <c r="B4062" s="10" t="s">
        <v>3779</v>
      </c>
      <c r="C4062" s="10" t="s">
        <v>3780</v>
      </c>
      <c r="D4062" s="10" t="s">
        <v>3993</v>
      </c>
      <c r="E4062" s="10" t="str">
        <f>"644020240512112512168858"</f>
        <v>644020240512112512168858</v>
      </c>
      <c r="F4062" s="9"/>
    </row>
    <row r="4063" s="2" customFormat="1" ht="30" customHeight="1" spans="1:6">
      <c r="A4063" s="9">
        <v>4060</v>
      </c>
      <c r="B4063" s="10" t="s">
        <v>3779</v>
      </c>
      <c r="C4063" s="10" t="s">
        <v>3780</v>
      </c>
      <c r="D4063" s="10" t="s">
        <v>3994</v>
      </c>
      <c r="E4063" s="10" t="str">
        <f>"644020240513170024176094"</f>
        <v>644020240513170024176094</v>
      </c>
      <c r="F4063" s="9"/>
    </row>
    <row r="4064" s="2" customFormat="1" ht="30" customHeight="1" spans="1:6">
      <c r="A4064" s="9">
        <v>4061</v>
      </c>
      <c r="B4064" s="10" t="s">
        <v>3779</v>
      </c>
      <c r="C4064" s="10" t="s">
        <v>3780</v>
      </c>
      <c r="D4064" s="10" t="s">
        <v>3995</v>
      </c>
      <c r="E4064" s="10" t="str">
        <f>"644020240513165016176053"</f>
        <v>644020240513165016176053</v>
      </c>
      <c r="F4064" s="9"/>
    </row>
    <row r="4065" s="2" customFormat="1" ht="30" customHeight="1" spans="1:6">
      <c r="A4065" s="9">
        <v>4062</v>
      </c>
      <c r="B4065" s="10" t="s">
        <v>3779</v>
      </c>
      <c r="C4065" s="10" t="s">
        <v>3780</v>
      </c>
      <c r="D4065" s="10" t="s">
        <v>3996</v>
      </c>
      <c r="E4065" s="10" t="str">
        <f>"644020240513170457176118"</f>
        <v>644020240513170457176118</v>
      </c>
      <c r="F4065" s="9"/>
    </row>
    <row r="4066" s="2" customFormat="1" ht="30" customHeight="1" spans="1:6">
      <c r="A4066" s="9">
        <v>4063</v>
      </c>
      <c r="B4066" s="10" t="s">
        <v>3779</v>
      </c>
      <c r="C4066" s="10" t="s">
        <v>3780</v>
      </c>
      <c r="D4066" s="10" t="s">
        <v>3997</v>
      </c>
      <c r="E4066" s="10" t="str">
        <f>"644020240513161836175885"</f>
        <v>644020240513161836175885</v>
      </c>
      <c r="F4066" s="9"/>
    </row>
    <row r="4067" s="2" customFormat="1" ht="30" customHeight="1" spans="1:6">
      <c r="A4067" s="9">
        <v>4064</v>
      </c>
      <c r="B4067" s="10" t="s">
        <v>3779</v>
      </c>
      <c r="C4067" s="10" t="s">
        <v>3780</v>
      </c>
      <c r="D4067" s="10" t="s">
        <v>3998</v>
      </c>
      <c r="E4067" s="10" t="str">
        <f>"644020240512235627171912"</f>
        <v>644020240512235627171912</v>
      </c>
      <c r="F4067" s="9"/>
    </row>
    <row r="4068" s="2" customFormat="1" ht="30" customHeight="1" spans="1:6">
      <c r="A4068" s="9">
        <v>4065</v>
      </c>
      <c r="B4068" s="10" t="s">
        <v>3779</v>
      </c>
      <c r="C4068" s="10" t="s">
        <v>3780</v>
      </c>
      <c r="D4068" s="10" t="s">
        <v>3999</v>
      </c>
      <c r="E4068" s="10" t="str">
        <f>"644020240513154930175670"</f>
        <v>644020240513154930175670</v>
      </c>
      <c r="F4068" s="9"/>
    </row>
    <row r="4069" s="2" customFormat="1" ht="30" customHeight="1" spans="1:6">
      <c r="A4069" s="9">
        <v>4066</v>
      </c>
      <c r="B4069" s="10" t="s">
        <v>3779</v>
      </c>
      <c r="C4069" s="10" t="s">
        <v>3780</v>
      </c>
      <c r="D4069" s="10" t="s">
        <v>4000</v>
      </c>
      <c r="E4069" s="10" t="str">
        <f>"644020240513162341175907"</f>
        <v>644020240513162341175907</v>
      </c>
      <c r="F4069" s="9"/>
    </row>
    <row r="4070" s="2" customFormat="1" ht="30" customHeight="1" spans="1:6">
      <c r="A4070" s="9">
        <v>4067</v>
      </c>
      <c r="B4070" s="10" t="s">
        <v>3779</v>
      </c>
      <c r="C4070" s="10" t="s">
        <v>3780</v>
      </c>
      <c r="D4070" s="10" t="s">
        <v>4001</v>
      </c>
      <c r="E4070" s="10" t="str">
        <f>"644020240513172038176192"</f>
        <v>644020240513172038176192</v>
      </c>
      <c r="F4070" s="9"/>
    </row>
    <row r="4071" s="2" customFormat="1" ht="30" customHeight="1" spans="1:6">
      <c r="A4071" s="9">
        <v>4068</v>
      </c>
      <c r="B4071" s="10" t="s">
        <v>3779</v>
      </c>
      <c r="C4071" s="10" t="s">
        <v>3780</v>
      </c>
      <c r="D4071" s="10" t="s">
        <v>4002</v>
      </c>
      <c r="E4071" s="10" t="str">
        <f>"644020240513165704176080"</f>
        <v>644020240513165704176080</v>
      </c>
      <c r="F4071" s="9"/>
    </row>
    <row r="4072" s="2" customFormat="1" ht="30" customHeight="1" spans="1:6">
      <c r="A4072" s="9">
        <v>4069</v>
      </c>
      <c r="B4072" s="10" t="s">
        <v>3779</v>
      </c>
      <c r="C4072" s="10" t="s">
        <v>3780</v>
      </c>
      <c r="D4072" s="10" t="s">
        <v>2114</v>
      </c>
      <c r="E4072" s="10" t="str">
        <f>"644020240513172520176215"</f>
        <v>644020240513172520176215</v>
      </c>
      <c r="F4072" s="9"/>
    </row>
    <row r="4073" s="2" customFormat="1" ht="30" customHeight="1" spans="1:6">
      <c r="A4073" s="9">
        <v>4070</v>
      </c>
      <c r="B4073" s="10" t="s">
        <v>3779</v>
      </c>
      <c r="C4073" s="10" t="s">
        <v>3780</v>
      </c>
      <c r="D4073" s="10" t="s">
        <v>1641</v>
      </c>
      <c r="E4073" s="10" t="str">
        <f>"644020240513132201174624"</f>
        <v>644020240513132201174624</v>
      </c>
      <c r="F4073" s="9"/>
    </row>
    <row r="4074" s="2" customFormat="1" ht="30" customHeight="1" spans="1:6">
      <c r="A4074" s="9">
        <v>4071</v>
      </c>
      <c r="B4074" s="10" t="s">
        <v>3779</v>
      </c>
      <c r="C4074" s="10" t="s">
        <v>3780</v>
      </c>
      <c r="D4074" s="10" t="s">
        <v>4003</v>
      </c>
      <c r="E4074" s="10" t="str">
        <f>"644020240513175007176317"</f>
        <v>644020240513175007176317</v>
      </c>
      <c r="F4074" s="9"/>
    </row>
    <row r="4075" s="2" customFormat="1" ht="30" customHeight="1" spans="1:6">
      <c r="A4075" s="9">
        <v>4072</v>
      </c>
      <c r="B4075" s="10" t="s">
        <v>3779</v>
      </c>
      <c r="C4075" s="10" t="s">
        <v>3780</v>
      </c>
      <c r="D4075" s="10" t="s">
        <v>4004</v>
      </c>
      <c r="E4075" s="10" t="str">
        <f>"644020240513174558176298"</f>
        <v>644020240513174558176298</v>
      </c>
      <c r="F4075" s="9"/>
    </row>
    <row r="4076" s="2" customFormat="1" ht="30" customHeight="1" spans="1:6">
      <c r="A4076" s="9">
        <v>4073</v>
      </c>
      <c r="B4076" s="10" t="s">
        <v>3779</v>
      </c>
      <c r="C4076" s="10" t="s">
        <v>3780</v>
      </c>
      <c r="D4076" s="10" t="s">
        <v>4005</v>
      </c>
      <c r="E4076" s="10" t="str">
        <f>"644020240513160338175801"</f>
        <v>644020240513160338175801</v>
      </c>
      <c r="F4076" s="9"/>
    </row>
    <row r="4077" s="2" customFormat="1" ht="30" customHeight="1" spans="1:6">
      <c r="A4077" s="9">
        <v>4074</v>
      </c>
      <c r="B4077" s="10" t="s">
        <v>3779</v>
      </c>
      <c r="C4077" s="10" t="s">
        <v>3780</v>
      </c>
      <c r="D4077" s="10" t="s">
        <v>4006</v>
      </c>
      <c r="E4077" s="10" t="str">
        <f>"644020240513180244176355"</f>
        <v>644020240513180244176355</v>
      </c>
      <c r="F4077" s="9"/>
    </row>
    <row r="4078" s="2" customFormat="1" ht="30" customHeight="1" spans="1:6">
      <c r="A4078" s="9">
        <v>4075</v>
      </c>
      <c r="B4078" s="10" t="s">
        <v>3779</v>
      </c>
      <c r="C4078" s="10" t="s">
        <v>3780</v>
      </c>
      <c r="D4078" s="10" t="s">
        <v>4007</v>
      </c>
      <c r="E4078" s="10" t="str">
        <f>"644020240513162706175926"</f>
        <v>644020240513162706175926</v>
      </c>
      <c r="F4078" s="9"/>
    </row>
    <row r="4079" s="2" customFormat="1" ht="30" customHeight="1" spans="1:6">
      <c r="A4079" s="9">
        <v>4076</v>
      </c>
      <c r="B4079" s="10" t="s">
        <v>3779</v>
      </c>
      <c r="C4079" s="10" t="s">
        <v>3780</v>
      </c>
      <c r="D4079" s="10" t="s">
        <v>4008</v>
      </c>
      <c r="E4079" s="10" t="str">
        <f>"644020240512150426169664"</f>
        <v>644020240512150426169664</v>
      </c>
      <c r="F4079" s="9"/>
    </row>
    <row r="4080" s="2" customFormat="1" ht="30" customHeight="1" spans="1:6">
      <c r="A4080" s="9">
        <v>4077</v>
      </c>
      <c r="B4080" s="10" t="s">
        <v>3779</v>
      </c>
      <c r="C4080" s="10" t="s">
        <v>3780</v>
      </c>
      <c r="D4080" s="10" t="s">
        <v>4009</v>
      </c>
      <c r="E4080" s="10" t="str">
        <f>"644020240513182227176403"</f>
        <v>644020240513182227176403</v>
      </c>
      <c r="F4080" s="9"/>
    </row>
    <row r="4081" s="2" customFormat="1" ht="30" customHeight="1" spans="1:6">
      <c r="A4081" s="9">
        <v>4078</v>
      </c>
      <c r="B4081" s="10" t="s">
        <v>3779</v>
      </c>
      <c r="C4081" s="10" t="s">
        <v>3780</v>
      </c>
      <c r="D4081" s="10" t="s">
        <v>4010</v>
      </c>
      <c r="E4081" s="10" t="str">
        <f>"644020240513095139173037"</f>
        <v>644020240513095139173037</v>
      </c>
      <c r="F4081" s="9"/>
    </row>
    <row r="4082" s="2" customFormat="1" ht="30" customHeight="1" spans="1:6">
      <c r="A4082" s="9">
        <v>4079</v>
      </c>
      <c r="B4082" s="10" t="s">
        <v>3779</v>
      </c>
      <c r="C4082" s="10" t="s">
        <v>3780</v>
      </c>
      <c r="D4082" s="10" t="s">
        <v>4011</v>
      </c>
      <c r="E4082" s="10" t="str">
        <f>"644020240512150016169647"</f>
        <v>644020240512150016169647</v>
      </c>
      <c r="F4082" s="9"/>
    </row>
    <row r="4083" s="2" customFormat="1" ht="30" customHeight="1" spans="1:6">
      <c r="A4083" s="9">
        <v>4080</v>
      </c>
      <c r="B4083" s="10" t="s">
        <v>3779</v>
      </c>
      <c r="C4083" s="10" t="s">
        <v>3780</v>
      </c>
      <c r="D4083" s="10" t="s">
        <v>4012</v>
      </c>
      <c r="E4083" s="10" t="str">
        <f>"644020240513163305175952"</f>
        <v>644020240513163305175952</v>
      </c>
      <c r="F4083" s="9"/>
    </row>
    <row r="4084" s="2" customFormat="1" ht="30" customHeight="1" spans="1:6">
      <c r="A4084" s="9">
        <v>4081</v>
      </c>
      <c r="B4084" s="10" t="s">
        <v>3779</v>
      </c>
      <c r="C4084" s="10" t="s">
        <v>3780</v>
      </c>
      <c r="D4084" s="10" t="s">
        <v>4013</v>
      </c>
      <c r="E4084" s="10" t="str">
        <f>"644020240513184317176456"</f>
        <v>644020240513184317176456</v>
      </c>
      <c r="F4084" s="9"/>
    </row>
    <row r="4085" s="2" customFormat="1" ht="30" customHeight="1" spans="1:6">
      <c r="A4085" s="9">
        <v>4082</v>
      </c>
      <c r="B4085" s="10" t="s">
        <v>3779</v>
      </c>
      <c r="C4085" s="10" t="s">
        <v>3780</v>
      </c>
      <c r="D4085" s="10" t="s">
        <v>4014</v>
      </c>
      <c r="E4085" s="10" t="str">
        <f>"644020240512104105168629"</f>
        <v>644020240512104105168629</v>
      </c>
      <c r="F4085" s="9"/>
    </row>
    <row r="4086" s="2" customFormat="1" ht="30" customHeight="1" spans="1:6">
      <c r="A4086" s="9">
        <v>4083</v>
      </c>
      <c r="B4086" s="10" t="s">
        <v>3779</v>
      </c>
      <c r="C4086" s="10" t="s">
        <v>3780</v>
      </c>
      <c r="D4086" s="10" t="s">
        <v>4015</v>
      </c>
      <c r="E4086" s="10" t="str">
        <f>"644020240513185511176490"</f>
        <v>644020240513185511176490</v>
      </c>
      <c r="F4086" s="9"/>
    </row>
    <row r="4087" s="2" customFormat="1" ht="30" customHeight="1" spans="1:6">
      <c r="A4087" s="9">
        <v>4084</v>
      </c>
      <c r="B4087" s="10" t="s">
        <v>3779</v>
      </c>
      <c r="C4087" s="10" t="s">
        <v>3780</v>
      </c>
      <c r="D4087" s="10" t="s">
        <v>4016</v>
      </c>
      <c r="E4087" s="10" t="str">
        <f>"644020240513185827176504"</f>
        <v>644020240513185827176504</v>
      </c>
      <c r="F4087" s="9"/>
    </row>
    <row r="4088" s="2" customFormat="1" ht="30" customHeight="1" spans="1:6">
      <c r="A4088" s="9">
        <v>4085</v>
      </c>
      <c r="B4088" s="10" t="s">
        <v>3779</v>
      </c>
      <c r="C4088" s="10" t="s">
        <v>3780</v>
      </c>
      <c r="D4088" s="10" t="s">
        <v>4017</v>
      </c>
      <c r="E4088" s="10" t="str">
        <f>"644020240513183956176451"</f>
        <v>644020240513183956176451</v>
      </c>
      <c r="F4088" s="9"/>
    </row>
    <row r="4089" s="2" customFormat="1" ht="30" customHeight="1" spans="1:6">
      <c r="A4089" s="9">
        <v>4086</v>
      </c>
      <c r="B4089" s="10" t="s">
        <v>3779</v>
      </c>
      <c r="C4089" s="10" t="s">
        <v>3780</v>
      </c>
      <c r="D4089" s="10" t="s">
        <v>4018</v>
      </c>
      <c r="E4089" s="10" t="str">
        <f>"644020240512161307169932"</f>
        <v>644020240512161307169932</v>
      </c>
      <c r="F4089" s="9"/>
    </row>
    <row r="4090" s="2" customFormat="1" ht="30" customHeight="1" spans="1:6">
      <c r="A4090" s="9">
        <v>4087</v>
      </c>
      <c r="B4090" s="10" t="s">
        <v>3779</v>
      </c>
      <c r="C4090" s="10" t="s">
        <v>3780</v>
      </c>
      <c r="D4090" s="10" t="s">
        <v>4019</v>
      </c>
      <c r="E4090" s="10" t="str">
        <f>"644020240513193331176630"</f>
        <v>644020240513193331176630</v>
      </c>
      <c r="F4090" s="9"/>
    </row>
    <row r="4091" s="2" customFormat="1" ht="30" customHeight="1" spans="1:6">
      <c r="A4091" s="9">
        <v>4088</v>
      </c>
      <c r="B4091" s="10" t="s">
        <v>3779</v>
      </c>
      <c r="C4091" s="10" t="s">
        <v>3780</v>
      </c>
      <c r="D4091" s="10" t="s">
        <v>4020</v>
      </c>
      <c r="E4091" s="10" t="str">
        <f>"644020240513191151176554"</f>
        <v>644020240513191151176554</v>
      </c>
      <c r="F4091" s="9"/>
    </row>
    <row r="4092" s="2" customFormat="1" ht="30" customHeight="1" spans="1:6">
      <c r="A4092" s="9">
        <v>4089</v>
      </c>
      <c r="B4092" s="10" t="s">
        <v>3779</v>
      </c>
      <c r="C4092" s="10" t="s">
        <v>3780</v>
      </c>
      <c r="D4092" s="10" t="s">
        <v>4021</v>
      </c>
      <c r="E4092" s="10" t="str">
        <f>"644020240513195408176705"</f>
        <v>644020240513195408176705</v>
      </c>
      <c r="F4092" s="9"/>
    </row>
    <row r="4093" s="2" customFormat="1" ht="30" customHeight="1" spans="1:6">
      <c r="A4093" s="9">
        <v>4090</v>
      </c>
      <c r="B4093" s="10" t="s">
        <v>3779</v>
      </c>
      <c r="C4093" s="10" t="s">
        <v>3780</v>
      </c>
      <c r="D4093" s="10" t="s">
        <v>4022</v>
      </c>
      <c r="E4093" s="10" t="str">
        <f>"644020240513105522173648"</f>
        <v>644020240513105522173648</v>
      </c>
      <c r="F4093" s="9"/>
    </row>
    <row r="4094" s="2" customFormat="1" ht="30" customHeight="1" spans="1:6">
      <c r="A4094" s="9">
        <v>4091</v>
      </c>
      <c r="B4094" s="10" t="s">
        <v>3779</v>
      </c>
      <c r="C4094" s="10" t="s">
        <v>3780</v>
      </c>
      <c r="D4094" s="10" t="s">
        <v>4023</v>
      </c>
      <c r="E4094" s="10" t="str">
        <f>"644020240513080909172211"</f>
        <v>644020240513080909172211</v>
      </c>
      <c r="F4094" s="9"/>
    </row>
    <row r="4095" s="2" customFormat="1" ht="30" customHeight="1" spans="1:6">
      <c r="A4095" s="9">
        <v>4092</v>
      </c>
      <c r="B4095" s="10" t="s">
        <v>3779</v>
      </c>
      <c r="C4095" s="10" t="s">
        <v>3780</v>
      </c>
      <c r="D4095" s="10" t="s">
        <v>4024</v>
      </c>
      <c r="E4095" s="10" t="str">
        <f>"644020240513201840176788"</f>
        <v>644020240513201840176788</v>
      </c>
      <c r="F4095" s="9"/>
    </row>
    <row r="4096" s="2" customFormat="1" ht="30" customHeight="1" spans="1:6">
      <c r="A4096" s="9">
        <v>4093</v>
      </c>
      <c r="B4096" s="10" t="s">
        <v>3779</v>
      </c>
      <c r="C4096" s="10" t="s">
        <v>3780</v>
      </c>
      <c r="D4096" s="10" t="s">
        <v>1830</v>
      </c>
      <c r="E4096" s="10" t="str">
        <f>"644020240513154947175673"</f>
        <v>644020240513154947175673</v>
      </c>
      <c r="F4096" s="9"/>
    </row>
    <row r="4097" s="2" customFormat="1" ht="30" customHeight="1" spans="1:6">
      <c r="A4097" s="9">
        <v>4094</v>
      </c>
      <c r="B4097" s="10" t="s">
        <v>3779</v>
      </c>
      <c r="C4097" s="10" t="s">
        <v>3780</v>
      </c>
      <c r="D4097" s="10" t="s">
        <v>4025</v>
      </c>
      <c r="E4097" s="10" t="str">
        <f>"644020240513200558176746"</f>
        <v>644020240513200558176746</v>
      </c>
      <c r="F4097" s="9"/>
    </row>
    <row r="4098" s="2" customFormat="1" ht="30" customHeight="1" spans="1:6">
      <c r="A4098" s="9">
        <v>4095</v>
      </c>
      <c r="B4098" s="10" t="s">
        <v>3779</v>
      </c>
      <c r="C4098" s="10" t="s">
        <v>3780</v>
      </c>
      <c r="D4098" s="10" t="s">
        <v>4026</v>
      </c>
      <c r="E4098" s="10" t="str">
        <f>"644020240512232149171791"</f>
        <v>644020240512232149171791</v>
      </c>
      <c r="F4098" s="9"/>
    </row>
    <row r="4099" s="2" customFormat="1" ht="30" customHeight="1" spans="1:6">
      <c r="A4099" s="9">
        <v>4096</v>
      </c>
      <c r="B4099" s="10" t="s">
        <v>3779</v>
      </c>
      <c r="C4099" s="10" t="s">
        <v>3780</v>
      </c>
      <c r="D4099" s="10" t="s">
        <v>4027</v>
      </c>
      <c r="E4099" s="10" t="str">
        <f>"644020240513194238176663"</f>
        <v>644020240513194238176663</v>
      </c>
      <c r="F4099" s="9"/>
    </row>
    <row r="4100" s="2" customFormat="1" ht="30" customHeight="1" spans="1:6">
      <c r="A4100" s="9">
        <v>4097</v>
      </c>
      <c r="B4100" s="10" t="s">
        <v>3779</v>
      </c>
      <c r="C4100" s="10" t="s">
        <v>3780</v>
      </c>
      <c r="D4100" s="10" t="s">
        <v>4028</v>
      </c>
      <c r="E4100" s="10" t="str">
        <f>"644020240512192419170583"</f>
        <v>644020240512192419170583</v>
      </c>
      <c r="F4100" s="9"/>
    </row>
    <row r="4101" s="2" customFormat="1" ht="30" customHeight="1" spans="1:6">
      <c r="A4101" s="9">
        <v>4098</v>
      </c>
      <c r="B4101" s="10" t="s">
        <v>3779</v>
      </c>
      <c r="C4101" s="10" t="s">
        <v>3780</v>
      </c>
      <c r="D4101" s="10" t="s">
        <v>4029</v>
      </c>
      <c r="E4101" s="10" t="str">
        <f>"644020240512100548168422"</f>
        <v>644020240512100548168422</v>
      </c>
      <c r="F4101" s="9"/>
    </row>
    <row r="4102" s="2" customFormat="1" ht="30" customHeight="1" spans="1:6">
      <c r="A4102" s="9">
        <v>4099</v>
      </c>
      <c r="B4102" s="10" t="s">
        <v>3779</v>
      </c>
      <c r="C4102" s="10" t="s">
        <v>3780</v>
      </c>
      <c r="D4102" s="10" t="s">
        <v>4030</v>
      </c>
      <c r="E4102" s="10" t="str">
        <f>"644020240513200721176749"</f>
        <v>644020240513200721176749</v>
      </c>
      <c r="F4102" s="9"/>
    </row>
    <row r="4103" s="2" customFormat="1" ht="30" customHeight="1" spans="1:6">
      <c r="A4103" s="9">
        <v>4100</v>
      </c>
      <c r="B4103" s="10" t="s">
        <v>3779</v>
      </c>
      <c r="C4103" s="10" t="s">
        <v>3780</v>
      </c>
      <c r="D4103" s="10" t="s">
        <v>4031</v>
      </c>
      <c r="E4103" s="10" t="str">
        <f>"644020240512104849168665"</f>
        <v>644020240512104849168665</v>
      </c>
      <c r="F4103" s="9"/>
    </row>
    <row r="4104" s="2" customFormat="1" ht="30" customHeight="1" spans="1:6">
      <c r="A4104" s="9">
        <v>4101</v>
      </c>
      <c r="B4104" s="10" t="s">
        <v>3779</v>
      </c>
      <c r="C4104" s="10" t="s">
        <v>3780</v>
      </c>
      <c r="D4104" s="10" t="s">
        <v>4032</v>
      </c>
      <c r="E4104" s="10" t="str">
        <f>"644020240513192922176611"</f>
        <v>644020240513192922176611</v>
      </c>
      <c r="F4104" s="9"/>
    </row>
    <row r="4105" s="2" customFormat="1" ht="30" customHeight="1" spans="1:6">
      <c r="A4105" s="9">
        <v>4102</v>
      </c>
      <c r="B4105" s="10" t="s">
        <v>3779</v>
      </c>
      <c r="C4105" s="10" t="s">
        <v>3780</v>
      </c>
      <c r="D4105" s="10" t="s">
        <v>4033</v>
      </c>
      <c r="E4105" s="10" t="str">
        <f>"644020240512213121171161"</f>
        <v>644020240512213121171161</v>
      </c>
      <c r="F4105" s="9"/>
    </row>
    <row r="4106" s="2" customFormat="1" ht="30" customHeight="1" spans="1:6">
      <c r="A4106" s="9">
        <v>4103</v>
      </c>
      <c r="B4106" s="10" t="s">
        <v>3779</v>
      </c>
      <c r="C4106" s="10" t="s">
        <v>3780</v>
      </c>
      <c r="D4106" s="10" t="s">
        <v>4034</v>
      </c>
      <c r="E4106" s="10" t="str">
        <f>"644020240513202854176822"</f>
        <v>644020240513202854176822</v>
      </c>
      <c r="F4106" s="9"/>
    </row>
    <row r="4107" s="2" customFormat="1" ht="30" customHeight="1" spans="1:6">
      <c r="A4107" s="9">
        <v>4104</v>
      </c>
      <c r="B4107" s="10" t="s">
        <v>3779</v>
      </c>
      <c r="C4107" s="10" t="s">
        <v>3780</v>
      </c>
      <c r="D4107" s="10" t="s">
        <v>4035</v>
      </c>
      <c r="E4107" s="10" t="str">
        <f>"644020240513203351176846"</f>
        <v>644020240513203351176846</v>
      </c>
      <c r="F4107" s="9"/>
    </row>
    <row r="4108" s="2" customFormat="1" ht="30" customHeight="1" spans="1:6">
      <c r="A4108" s="9">
        <v>4105</v>
      </c>
      <c r="B4108" s="10" t="s">
        <v>3779</v>
      </c>
      <c r="C4108" s="10" t="s">
        <v>3780</v>
      </c>
      <c r="D4108" s="10" t="s">
        <v>4036</v>
      </c>
      <c r="E4108" s="10" t="str">
        <f>"644020240513193930176651"</f>
        <v>644020240513193930176651</v>
      </c>
      <c r="F4108" s="9"/>
    </row>
    <row r="4109" s="2" customFormat="1" ht="30" customHeight="1" spans="1:6">
      <c r="A4109" s="9">
        <v>4106</v>
      </c>
      <c r="B4109" s="10" t="s">
        <v>3779</v>
      </c>
      <c r="C4109" s="10" t="s">
        <v>3780</v>
      </c>
      <c r="D4109" s="10" t="s">
        <v>4037</v>
      </c>
      <c r="E4109" s="10" t="str">
        <f>"644020240513202317176802"</f>
        <v>644020240513202317176802</v>
      </c>
      <c r="F4109" s="9"/>
    </row>
    <row r="4110" s="2" customFormat="1" ht="30" customHeight="1" spans="1:6">
      <c r="A4110" s="9">
        <v>4107</v>
      </c>
      <c r="B4110" s="10" t="s">
        <v>3779</v>
      </c>
      <c r="C4110" s="10" t="s">
        <v>3780</v>
      </c>
      <c r="D4110" s="10" t="s">
        <v>1317</v>
      </c>
      <c r="E4110" s="10" t="str">
        <f>"644020240513155807175762"</f>
        <v>644020240513155807175762</v>
      </c>
      <c r="F4110" s="9"/>
    </row>
    <row r="4111" s="2" customFormat="1" ht="30" customHeight="1" spans="1:6">
      <c r="A4111" s="9">
        <v>4108</v>
      </c>
      <c r="B4111" s="10" t="s">
        <v>3779</v>
      </c>
      <c r="C4111" s="10" t="s">
        <v>3780</v>
      </c>
      <c r="D4111" s="10" t="s">
        <v>4038</v>
      </c>
      <c r="E4111" s="10" t="str">
        <f>"644020240513164824176037"</f>
        <v>644020240513164824176037</v>
      </c>
      <c r="F4111" s="9"/>
    </row>
    <row r="4112" s="2" customFormat="1" ht="30" customHeight="1" spans="1:6">
      <c r="A4112" s="9">
        <v>4109</v>
      </c>
      <c r="B4112" s="10" t="s">
        <v>3779</v>
      </c>
      <c r="C4112" s="10" t="s">
        <v>3780</v>
      </c>
      <c r="D4112" s="10" t="s">
        <v>1255</v>
      </c>
      <c r="E4112" s="10" t="str">
        <f>"644020240513203821176874"</f>
        <v>644020240513203821176874</v>
      </c>
      <c r="F4112" s="9"/>
    </row>
    <row r="4113" s="2" customFormat="1" ht="30" customHeight="1" spans="1:6">
      <c r="A4113" s="9">
        <v>4110</v>
      </c>
      <c r="B4113" s="10" t="s">
        <v>3779</v>
      </c>
      <c r="C4113" s="10" t="s">
        <v>3780</v>
      </c>
      <c r="D4113" s="10" t="s">
        <v>4039</v>
      </c>
      <c r="E4113" s="10" t="str">
        <f>"644020240513205638176944"</f>
        <v>644020240513205638176944</v>
      </c>
      <c r="F4113" s="9"/>
    </row>
    <row r="4114" s="2" customFormat="1" ht="30" customHeight="1" spans="1:6">
      <c r="A4114" s="9">
        <v>4111</v>
      </c>
      <c r="B4114" s="10" t="s">
        <v>3779</v>
      </c>
      <c r="C4114" s="10" t="s">
        <v>3780</v>
      </c>
      <c r="D4114" s="10" t="s">
        <v>4040</v>
      </c>
      <c r="E4114" s="10" t="str">
        <f>"644020240513205508176940"</f>
        <v>644020240513205508176940</v>
      </c>
      <c r="F4114" s="9"/>
    </row>
    <row r="4115" s="2" customFormat="1" ht="30" customHeight="1" spans="1:6">
      <c r="A4115" s="9">
        <v>4112</v>
      </c>
      <c r="B4115" s="10" t="s">
        <v>3779</v>
      </c>
      <c r="C4115" s="10" t="s">
        <v>3780</v>
      </c>
      <c r="D4115" s="10" t="s">
        <v>4041</v>
      </c>
      <c r="E4115" s="10" t="str">
        <f>"644020240513205335176934"</f>
        <v>644020240513205335176934</v>
      </c>
      <c r="F4115" s="9"/>
    </row>
    <row r="4116" s="2" customFormat="1" ht="30" customHeight="1" spans="1:6">
      <c r="A4116" s="9">
        <v>4113</v>
      </c>
      <c r="B4116" s="10" t="s">
        <v>3779</v>
      </c>
      <c r="C4116" s="10" t="s">
        <v>3780</v>
      </c>
      <c r="D4116" s="10" t="s">
        <v>4042</v>
      </c>
      <c r="E4116" s="10" t="str">
        <f>"644020240513201501176777"</f>
        <v>644020240513201501176777</v>
      </c>
      <c r="F4116" s="9"/>
    </row>
    <row r="4117" s="2" customFormat="1" ht="30" customHeight="1" spans="1:6">
      <c r="A4117" s="9">
        <v>4114</v>
      </c>
      <c r="B4117" s="10" t="s">
        <v>3779</v>
      </c>
      <c r="C4117" s="10" t="s">
        <v>3780</v>
      </c>
      <c r="D4117" s="10" t="s">
        <v>4043</v>
      </c>
      <c r="E4117" s="10" t="str">
        <f>"644020240513171003176142"</f>
        <v>644020240513171003176142</v>
      </c>
      <c r="F4117" s="9"/>
    </row>
    <row r="4118" s="2" customFormat="1" ht="30" customHeight="1" spans="1:6">
      <c r="A4118" s="9">
        <v>4115</v>
      </c>
      <c r="B4118" s="10" t="s">
        <v>3779</v>
      </c>
      <c r="C4118" s="10" t="s">
        <v>3780</v>
      </c>
      <c r="D4118" s="10" t="s">
        <v>4044</v>
      </c>
      <c r="E4118" s="10" t="str">
        <f>"644020240513213824177118"</f>
        <v>644020240513213824177118</v>
      </c>
      <c r="F4118" s="9"/>
    </row>
    <row r="4119" s="2" customFormat="1" ht="30" customHeight="1" spans="1:6">
      <c r="A4119" s="9">
        <v>4116</v>
      </c>
      <c r="B4119" s="10" t="s">
        <v>3779</v>
      </c>
      <c r="C4119" s="10" t="s">
        <v>3780</v>
      </c>
      <c r="D4119" s="10" t="s">
        <v>4045</v>
      </c>
      <c r="E4119" s="10" t="str">
        <f>"644020240513205947176956"</f>
        <v>644020240513205947176956</v>
      </c>
      <c r="F4119" s="9"/>
    </row>
    <row r="4120" s="2" customFormat="1" ht="30" customHeight="1" spans="1:6">
      <c r="A4120" s="9">
        <v>4117</v>
      </c>
      <c r="B4120" s="10" t="s">
        <v>3779</v>
      </c>
      <c r="C4120" s="10" t="s">
        <v>3780</v>
      </c>
      <c r="D4120" s="10" t="s">
        <v>4046</v>
      </c>
      <c r="E4120" s="10" t="str">
        <f>"644020240513082231172263"</f>
        <v>644020240513082231172263</v>
      </c>
      <c r="F4120" s="9"/>
    </row>
    <row r="4121" s="2" customFormat="1" ht="30" customHeight="1" spans="1:6">
      <c r="A4121" s="9">
        <v>4118</v>
      </c>
      <c r="B4121" s="10" t="s">
        <v>3779</v>
      </c>
      <c r="C4121" s="10" t="s">
        <v>3780</v>
      </c>
      <c r="D4121" s="10" t="s">
        <v>4047</v>
      </c>
      <c r="E4121" s="10" t="str">
        <f>"644020240513214752177162"</f>
        <v>644020240513214752177162</v>
      </c>
      <c r="F4121" s="9"/>
    </row>
    <row r="4122" s="2" customFormat="1" ht="30" customHeight="1" spans="1:6">
      <c r="A4122" s="9">
        <v>4119</v>
      </c>
      <c r="B4122" s="10" t="s">
        <v>3779</v>
      </c>
      <c r="C4122" s="10" t="s">
        <v>3780</v>
      </c>
      <c r="D4122" s="10" t="s">
        <v>4048</v>
      </c>
      <c r="E4122" s="10" t="str">
        <f>"644020240513123428174323"</f>
        <v>644020240513123428174323</v>
      </c>
      <c r="F4122" s="9"/>
    </row>
    <row r="4123" s="2" customFormat="1" ht="30" customHeight="1" spans="1:6">
      <c r="A4123" s="9">
        <v>4120</v>
      </c>
      <c r="B4123" s="10" t="s">
        <v>3779</v>
      </c>
      <c r="C4123" s="10" t="s">
        <v>3780</v>
      </c>
      <c r="D4123" s="10" t="s">
        <v>4049</v>
      </c>
      <c r="E4123" s="10" t="str">
        <f>"644020240513214443177142"</f>
        <v>644020240513214443177142</v>
      </c>
      <c r="F4123" s="9"/>
    </row>
    <row r="4124" s="2" customFormat="1" ht="30" customHeight="1" spans="1:6">
      <c r="A4124" s="9">
        <v>4121</v>
      </c>
      <c r="B4124" s="10" t="s">
        <v>3779</v>
      </c>
      <c r="C4124" s="10" t="s">
        <v>3780</v>
      </c>
      <c r="D4124" s="10" t="s">
        <v>4050</v>
      </c>
      <c r="E4124" s="10" t="str">
        <f>"644020240512221559171413"</f>
        <v>644020240512221559171413</v>
      </c>
      <c r="F4124" s="9"/>
    </row>
    <row r="4125" s="2" customFormat="1" ht="30" customHeight="1" spans="1:6">
      <c r="A4125" s="9">
        <v>4122</v>
      </c>
      <c r="B4125" s="10" t="s">
        <v>3779</v>
      </c>
      <c r="C4125" s="10" t="s">
        <v>3780</v>
      </c>
      <c r="D4125" s="10" t="s">
        <v>2127</v>
      </c>
      <c r="E4125" s="10" t="str">
        <f>"644020240513150638175240"</f>
        <v>644020240513150638175240</v>
      </c>
      <c r="F4125" s="9"/>
    </row>
    <row r="4126" s="2" customFormat="1" ht="30" customHeight="1" spans="1:6">
      <c r="A4126" s="9">
        <v>4123</v>
      </c>
      <c r="B4126" s="10" t="s">
        <v>3779</v>
      </c>
      <c r="C4126" s="10" t="s">
        <v>3780</v>
      </c>
      <c r="D4126" s="10" t="s">
        <v>4051</v>
      </c>
      <c r="E4126" s="10" t="str">
        <f>"644020240512094250168294"</f>
        <v>644020240512094250168294</v>
      </c>
      <c r="F4126" s="9"/>
    </row>
    <row r="4127" s="2" customFormat="1" ht="30" customHeight="1" spans="1:6">
      <c r="A4127" s="9">
        <v>4124</v>
      </c>
      <c r="B4127" s="10" t="s">
        <v>3779</v>
      </c>
      <c r="C4127" s="10" t="s">
        <v>3780</v>
      </c>
      <c r="D4127" s="10" t="s">
        <v>4052</v>
      </c>
      <c r="E4127" s="10" t="str">
        <f>"644020240512224128171561"</f>
        <v>644020240512224128171561</v>
      </c>
      <c r="F4127" s="9"/>
    </row>
    <row r="4128" s="2" customFormat="1" ht="30" customHeight="1" spans="1:6">
      <c r="A4128" s="9">
        <v>4125</v>
      </c>
      <c r="B4128" s="10" t="s">
        <v>3779</v>
      </c>
      <c r="C4128" s="10" t="s">
        <v>3780</v>
      </c>
      <c r="D4128" s="10" t="s">
        <v>4053</v>
      </c>
      <c r="E4128" s="10" t="str">
        <f>"644020240513193048176619"</f>
        <v>644020240513193048176619</v>
      </c>
      <c r="F4128" s="9"/>
    </row>
    <row r="4129" s="2" customFormat="1" ht="30" customHeight="1" spans="1:6">
      <c r="A4129" s="9">
        <v>4126</v>
      </c>
      <c r="B4129" s="10" t="s">
        <v>3779</v>
      </c>
      <c r="C4129" s="10" t="s">
        <v>3780</v>
      </c>
      <c r="D4129" s="10" t="s">
        <v>4054</v>
      </c>
      <c r="E4129" s="10" t="str">
        <f>"644020240513092330172750"</f>
        <v>644020240513092330172750</v>
      </c>
      <c r="F4129" s="9"/>
    </row>
    <row r="4130" s="2" customFormat="1" ht="30" customHeight="1" spans="1:6">
      <c r="A4130" s="9">
        <v>4127</v>
      </c>
      <c r="B4130" s="10" t="s">
        <v>3779</v>
      </c>
      <c r="C4130" s="10" t="s">
        <v>3780</v>
      </c>
      <c r="D4130" s="10" t="s">
        <v>4055</v>
      </c>
      <c r="E4130" s="10" t="str">
        <f>"644020240513214154177129"</f>
        <v>644020240513214154177129</v>
      </c>
      <c r="F4130" s="9"/>
    </row>
    <row r="4131" s="2" customFormat="1" ht="30" customHeight="1" spans="1:6">
      <c r="A4131" s="9">
        <v>4128</v>
      </c>
      <c r="B4131" s="10" t="s">
        <v>3779</v>
      </c>
      <c r="C4131" s="10" t="s">
        <v>3780</v>
      </c>
      <c r="D4131" s="10" t="s">
        <v>4056</v>
      </c>
      <c r="E4131" s="10" t="str">
        <f>"644020240512105928168717"</f>
        <v>644020240512105928168717</v>
      </c>
      <c r="F4131" s="9"/>
    </row>
    <row r="4132" s="2" customFormat="1" ht="30" customHeight="1" spans="1:6">
      <c r="A4132" s="9">
        <v>4129</v>
      </c>
      <c r="B4132" s="10" t="s">
        <v>3779</v>
      </c>
      <c r="C4132" s="10" t="s">
        <v>3780</v>
      </c>
      <c r="D4132" s="10" t="s">
        <v>4057</v>
      </c>
      <c r="E4132" s="10" t="str">
        <f>"644020240513220830177265"</f>
        <v>644020240513220830177265</v>
      </c>
      <c r="F4132" s="9"/>
    </row>
    <row r="4133" s="2" customFormat="1" ht="30" customHeight="1" spans="1:6">
      <c r="A4133" s="9">
        <v>4130</v>
      </c>
      <c r="B4133" s="10" t="s">
        <v>3779</v>
      </c>
      <c r="C4133" s="10" t="s">
        <v>3780</v>
      </c>
      <c r="D4133" s="10" t="s">
        <v>298</v>
      </c>
      <c r="E4133" s="10" t="str">
        <f>"644020240513221416177296"</f>
        <v>644020240513221416177296</v>
      </c>
      <c r="F4133" s="9"/>
    </row>
    <row r="4134" s="2" customFormat="1" ht="30" customHeight="1" spans="1:6">
      <c r="A4134" s="9">
        <v>4131</v>
      </c>
      <c r="B4134" s="10" t="s">
        <v>3779</v>
      </c>
      <c r="C4134" s="10" t="s">
        <v>3780</v>
      </c>
      <c r="D4134" s="10" t="s">
        <v>4058</v>
      </c>
      <c r="E4134" s="10" t="str">
        <f>"644020240513221602177303"</f>
        <v>644020240513221602177303</v>
      </c>
      <c r="F4134" s="9"/>
    </row>
    <row r="4135" s="2" customFormat="1" ht="30" customHeight="1" spans="1:6">
      <c r="A4135" s="9">
        <v>4132</v>
      </c>
      <c r="B4135" s="10" t="s">
        <v>3779</v>
      </c>
      <c r="C4135" s="10" t="s">
        <v>3780</v>
      </c>
      <c r="D4135" s="10" t="s">
        <v>4059</v>
      </c>
      <c r="E4135" s="10" t="str">
        <f>"644020240513222739177353"</f>
        <v>644020240513222739177353</v>
      </c>
      <c r="F4135" s="9"/>
    </row>
    <row r="4136" s="2" customFormat="1" ht="30" customHeight="1" spans="1:6">
      <c r="A4136" s="9">
        <v>4133</v>
      </c>
      <c r="B4136" s="10" t="s">
        <v>3779</v>
      </c>
      <c r="C4136" s="10" t="s">
        <v>3780</v>
      </c>
      <c r="D4136" s="10" t="s">
        <v>4060</v>
      </c>
      <c r="E4136" s="10" t="str">
        <f>"644020240513225021177454"</f>
        <v>644020240513225021177454</v>
      </c>
      <c r="F4136" s="9"/>
    </row>
    <row r="4137" s="2" customFormat="1" ht="30" customHeight="1" spans="1:6">
      <c r="A4137" s="9">
        <v>4134</v>
      </c>
      <c r="B4137" s="10" t="s">
        <v>3779</v>
      </c>
      <c r="C4137" s="10" t="s">
        <v>3780</v>
      </c>
      <c r="D4137" s="10" t="s">
        <v>4061</v>
      </c>
      <c r="E4137" s="10" t="str">
        <f>"644020240513224019177403"</f>
        <v>644020240513224019177403</v>
      </c>
      <c r="F4137" s="9"/>
    </row>
    <row r="4138" s="2" customFormat="1" ht="30" customHeight="1" spans="1:6">
      <c r="A4138" s="9">
        <v>4135</v>
      </c>
      <c r="B4138" s="10" t="s">
        <v>3779</v>
      </c>
      <c r="C4138" s="10" t="s">
        <v>3780</v>
      </c>
      <c r="D4138" s="10" t="s">
        <v>4062</v>
      </c>
      <c r="E4138" s="10" t="str">
        <f>"644020240513093748172888"</f>
        <v>644020240513093748172888</v>
      </c>
      <c r="F4138" s="9"/>
    </row>
    <row r="4139" s="2" customFormat="1" ht="30" customHeight="1" spans="1:6">
      <c r="A4139" s="9">
        <v>4136</v>
      </c>
      <c r="B4139" s="10" t="s">
        <v>3779</v>
      </c>
      <c r="C4139" s="10" t="s">
        <v>3780</v>
      </c>
      <c r="D4139" s="10" t="s">
        <v>4063</v>
      </c>
      <c r="E4139" s="10" t="str">
        <f>"644020240513225208177459"</f>
        <v>644020240513225208177459</v>
      </c>
      <c r="F4139" s="9"/>
    </row>
    <row r="4140" s="2" customFormat="1" ht="30" customHeight="1" spans="1:6">
      <c r="A4140" s="9">
        <v>4137</v>
      </c>
      <c r="B4140" s="10" t="s">
        <v>3779</v>
      </c>
      <c r="C4140" s="10" t="s">
        <v>3780</v>
      </c>
      <c r="D4140" s="10" t="s">
        <v>4064</v>
      </c>
      <c r="E4140" s="10" t="str">
        <f>"644020240513115913174131"</f>
        <v>644020240513115913174131</v>
      </c>
      <c r="F4140" s="9"/>
    </row>
    <row r="4141" s="2" customFormat="1" ht="30" customHeight="1" spans="1:6">
      <c r="A4141" s="9">
        <v>4138</v>
      </c>
      <c r="B4141" s="10" t="s">
        <v>3779</v>
      </c>
      <c r="C4141" s="10" t="s">
        <v>3780</v>
      </c>
      <c r="D4141" s="10" t="s">
        <v>4065</v>
      </c>
      <c r="E4141" s="10" t="str">
        <f>"644020240513225253177462"</f>
        <v>644020240513225253177462</v>
      </c>
      <c r="F4141" s="9"/>
    </row>
    <row r="4142" s="2" customFormat="1" ht="30" customHeight="1" spans="1:6">
      <c r="A4142" s="9">
        <v>4139</v>
      </c>
      <c r="B4142" s="10" t="s">
        <v>3779</v>
      </c>
      <c r="C4142" s="10" t="s">
        <v>3780</v>
      </c>
      <c r="D4142" s="10" t="s">
        <v>4066</v>
      </c>
      <c r="E4142" s="10" t="str">
        <f>"644020240513230239177502"</f>
        <v>644020240513230239177502</v>
      </c>
      <c r="F4142" s="9"/>
    </row>
    <row r="4143" s="2" customFormat="1" ht="30" customHeight="1" spans="1:6">
      <c r="A4143" s="9">
        <v>4140</v>
      </c>
      <c r="B4143" s="10" t="s">
        <v>3779</v>
      </c>
      <c r="C4143" s="10" t="s">
        <v>3780</v>
      </c>
      <c r="D4143" s="10" t="s">
        <v>4067</v>
      </c>
      <c r="E4143" s="10" t="str">
        <f>"644020240513221317177292"</f>
        <v>644020240513221317177292</v>
      </c>
      <c r="F4143" s="9"/>
    </row>
    <row r="4144" s="2" customFormat="1" ht="30" customHeight="1" spans="1:6">
      <c r="A4144" s="9">
        <v>4141</v>
      </c>
      <c r="B4144" s="10" t="s">
        <v>3779</v>
      </c>
      <c r="C4144" s="10" t="s">
        <v>3780</v>
      </c>
      <c r="D4144" s="10" t="s">
        <v>4068</v>
      </c>
      <c r="E4144" s="10" t="str">
        <f>"644020240512181820170353"</f>
        <v>644020240512181820170353</v>
      </c>
      <c r="F4144" s="9"/>
    </row>
    <row r="4145" s="2" customFormat="1" ht="30" customHeight="1" spans="1:6">
      <c r="A4145" s="9">
        <v>4142</v>
      </c>
      <c r="B4145" s="10" t="s">
        <v>3779</v>
      </c>
      <c r="C4145" s="10" t="s">
        <v>3780</v>
      </c>
      <c r="D4145" s="10" t="s">
        <v>4069</v>
      </c>
      <c r="E4145" s="10" t="str">
        <f>"644020240513224804177443"</f>
        <v>644020240513224804177443</v>
      </c>
      <c r="F4145" s="9"/>
    </row>
    <row r="4146" s="2" customFormat="1" ht="30" customHeight="1" spans="1:6">
      <c r="A4146" s="9">
        <v>4143</v>
      </c>
      <c r="B4146" s="10" t="s">
        <v>3779</v>
      </c>
      <c r="C4146" s="10" t="s">
        <v>3780</v>
      </c>
      <c r="D4146" s="10" t="s">
        <v>4070</v>
      </c>
      <c r="E4146" s="10" t="str">
        <f>"644020240513215550177201"</f>
        <v>644020240513215550177201</v>
      </c>
      <c r="F4146" s="9"/>
    </row>
    <row r="4147" s="2" customFormat="1" ht="30" customHeight="1" spans="1:6">
      <c r="A4147" s="9">
        <v>4144</v>
      </c>
      <c r="B4147" s="10" t="s">
        <v>3779</v>
      </c>
      <c r="C4147" s="10" t="s">
        <v>3780</v>
      </c>
      <c r="D4147" s="10" t="s">
        <v>4071</v>
      </c>
      <c r="E4147" s="10" t="str">
        <f>"644020240512103924168619"</f>
        <v>644020240512103924168619</v>
      </c>
      <c r="F4147" s="9"/>
    </row>
    <row r="4148" s="2" customFormat="1" ht="30" customHeight="1" spans="1:6">
      <c r="A4148" s="9">
        <v>4145</v>
      </c>
      <c r="B4148" s="10" t="s">
        <v>3779</v>
      </c>
      <c r="C4148" s="10" t="s">
        <v>3780</v>
      </c>
      <c r="D4148" s="10" t="s">
        <v>4072</v>
      </c>
      <c r="E4148" s="10" t="str">
        <f>"644020240513224946177451"</f>
        <v>644020240513224946177451</v>
      </c>
      <c r="F4148" s="9"/>
    </row>
    <row r="4149" s="2" customFormat="1" ht="30" customHeight="1" spans="1:6">
      <c r="A4149" s="9">
        <v>4146</v>
      </c>
      <c r="B4149" s="10" t="s">
        <v>3779</v>
      </c>
      <c r="C4149" s="10" t="s">
        <v>3780</v>
      </c>
      <c r="D4149" s="10" t="s">
        <v>4073</v>
      </c>
      <c r="E4149" s="10" t="str">
        <f>"644020240513010037172023"</f>
        <v>644020240513010037172023</v>
      </c>
      <c r="F4149" s="9"/>
    </row>
    <row r="4150" s="2" customFormat="1" ht="30" customHeight="1" spans="1:6">
      <c r="A4150" s="9">
        <v>4147</v>
      </c>
      <c r="B4150" s="10" t="s">
        <v>3779</v>
      </c>
      <c r="C4150" s="10" t="s">
        <v>3780</v>
      </c>
      <c r="D4150" s="10" t="s">
        <v>824</v>
      </c>
      <c r="E4150" s="10" t="str">
        <f>"644020240513225716177478"</f>
        <v>644020240513225716177478</v>
      </c>
      <c r="F4150" s="9"/>
    </row>
    <row r="4151" s="2" customFormat="1" ht="30" customHeight="1" spans="1:6">
      <c r="A4151" s="9">
        <v>4148</v>
      </c>
      <c r="B4151" s="10" t="s">
        <v>3779</v>
      </c>
      <c r="C4151" s="10" t="s">
        <v>3780</v>
      </c>
      <c r="D4151" s="10" t="s">
        <v>4074</v>
      </c>
      <c r="E4151" s="10" t="str">
        <f>"644020240513231900177550"</f>
        <v>644020240513231900177550</v>
      </c>
      <c r="F4151" s="9"/>
    </row>
    <row r="4152" s="2" customFormat="1" ht="30" customHeight="1" spans="1:6">
      <c r="A4152" s="9">
        <v>4149</v>
      </c>
      <c r="B4152" s="10" t="s">
        <v>3779</v>
      </c>
      <c r="C4152" s="10" t="s">
        <v>3780</v>
      </c>
      <c r="D4152" s="10" t="s">
        <v>4075</v>
      </c>
      <c r="E4152" s="10" t="str">
        <f>"644020240513234128177606"</f>
        <v>644020240513234128177606</v>
      </c>
      <c r="F4152" s="9"/>
    </row>
    <row r="4153" s="2" customFormat="1" ht="30" customHeight="1" spans="1:6">
      <c r="A4153" s="9">
        <v>4150</v>
      </c>
      <c r="B4153" s="10" t="s">
        <v>3779</v>
      </c>
      <c r="C4153" s="10" t="s">
        <v>3780</v>
      </c>
      <c r="D4153" s="10" t="s">
        <v>4076</v>
      </c>
      <c r="E4153" s="10" t="str">
        <f>"644020240513233852177596"</f>
        <v>644020240513233852177596</v>
      </c>
      <c r="F4153" s="9"/>
    </row>
    <row r="4154" s="2" customFormat="1" ht="30" customHeight="1" spans="1:6">
      <c r="A4154" s="9">
        <v>4151</v>
      </c>
      <c r="B4154" s="10" t="s">
        <v>3779</v>
      </c>
      <c r="C4154" s="10" t="s">
        <v>3780</v>
      </c>
      <c r="D4154" s="10" t="s">
        <v>4077</v>
      </c>
      <c r="E4154" s="10" t="str">
        <f>"644020240513230218177501"</f>
        <v>644020240513230218177501</v>
      </c>
      <c r="F4154" s="9"/>
    </row>
    <row r="4155" s="2" customFormat="1" ht="30" customHeight="1" spans="1:6">
      <c r="A4155" s="9">
        <v>4152</v>
      </c>
      <c r="B4155" s="10" t="s">
        <v>3779</v>
      </c>
      <c r="C4155" s="10" t="s">
        <v>3780</v>
      </c>
      <c r="D4155" s="10" t="s">
        <v>4078</v>
      </c>
      <c r="E4155" s="10" t="str">
        <f>"644020240512090345168107"</f>
        <v>644020240512090345168107</v>
      </c>
      <c r="F4155" s="9"/>
    </row>
    <row r="4156" s="2" customFormat="1" ht="30" customHeight="1" spans="1:6">
      <c r="A4156" s="9">
        <v>4153</v>
      </c>
      <c r="B4156" s="10" t="s">
        <v>3779</v>
      </c>
      <c r="C4156" s="10" t="s">
        <v>3780</v>
      </c>
      <c r="D4156" s="10" t="s">
        <v>4079</v>
      </c>
      <c r="E4156" s="10" t="str">
        <f>"644020240513185003176478"</f>
        <v>644020240513185003176478</v>
      </c>
      <c r="F4156" s="9"/>
    </row>
    <row r="4157" s="2" customFormat="1" ht="30" customHeight="1" spans="1:6">
      <c r="A4157" s="9">
        <v>4154</v>
      </c>
      <c r="B4157" s="10" t="s">
        <v>3779</v>
      </c>
      <c r="C4157" s="10" t="s">
        <v>3780</v>
      </c>
      <c r="D4157" s="10" t="s">
        <v>4080</v>
      </c>
      <c r="E4157" s="10" t="str">
        <f>"644020240513223045177364"</f>
        <v>644020240513223045177364</v>
      </c>
      <c r="F4157" s="9"/>
    </row>
    <row r="4158" s="2" customFormat="1" ht="30" customHeight="1" spans="1:6">
      <c r="A4158" s="9">
        <v>4155</v>
      </c>
      <c r="B4158" s="10" t="s">
        <v>3779</v>
      </c>
      <c r="C4158" s="10" t="s">
        <v>3780</v>
      </c>
      <c r="D4158" s="10" t="s">
        <v>4081</v>
      </c>
      <c r="E4158" s="10" t="str">
        <f>"644020240513112327173906"</f>
        <v>644020240513112327173906</v>
      </c>
      <c r="F4158" s="9"/>
    </row>
    <row r="4159" s="2" customFormat="1" ht="30" customHeight="1" spans="1:6">
      <c r="A4159" s="9">
        <v>4156</v>
      </c>
      <c r="B4159" s="10" t="s">
        <v>3779</v>
      </c>
      <c r="C4159" s="10" t="s">
        <v>3780</v>
      </c>
      <c r="D4159" s="10" t="s">
        <v>4082</v>
      </c>
      <c r="E4159" s="10" t="str">
        <f>"644020240513164531176025"</f>
        <v>644020240513164531176025</v>
      </c>
      <c r="F4159" s="9"/>
    </row>
    <row r="4160" s="2" customFormat="1" ht="30" customHeight="1" spans="1:6">
      <c r="A4160" s="9">
        <v>4157</v>
      </c>
      <c r="B4160" s="10" t="s">
        <v>3779</v>
      </c>
      <c r="C4160" s="10" t="s">
        <v>3780</v>
      </c>
      <c r="D4160" s="10" t="s">
        <v>4083</v>
      </c>
      <c r="E4160" s="10" t="str">
        <f>"644020240512102409168530"</f>
        <v>644020240512102409168530</v>
      </c>
      <c r="F4160" s="9"/>
    </row>
    <row r="4161" s="2" customFormat="1" ht="30" customHeight="1" spans="1:6">
      <c r="A4161" s="9">
        <v>4158</v>
      </c>
      <c r="B4161" s="10" t="s">
        <v>3779</v>
      </c>
      <c r="C4161" s="10" t="s">
        <v>3780</v>
      </c>
      <c r="D4161" s="10" t="s">
        <v>4084</v>
      </c>
      <c r="E4161" s="10" t="str">
        <f>"644020240514084127177885"</f>
        <v>644020240514084127177885</v>
      </c>
      <c r="F4161" s="9"/>
    </row>
    <row r="4162" s="2" customFormat="1" ht="30" customHeight="1" spans="1:6">
      <c r="A4162" s="9">
        <v>4159</v>
      </c>
      <c r="B4162" s="10" t="s">
        <v>3779</v>
      </c>
      <c r="C4162" s="10" t="s">
        <v>3780</v>
      </c>
      <c r="D4162" s="10" t="s">
        <v>4085</v>
      </c>
      <c r="E4162" s="10" t="str">
        <f>"644020240514081444177826"</f>
        <v>644020240514081444177826</v>
      </c>
      <c r="F4162" s="9"/>
    </row>
    <row r="4163" s="2" customFormat="1" ht="30" customHeight="1" spans="1:6">
      <c r="A4163" s="9">
        <v>4160</v>
      </c>
      <c r="B4163" s="10" t="s">
        <v>3779</v>
      </c>
      <c r="C4163" s="10" t="s">
        <v>3780</v>
      </c>
      <c r="D4163" s="10" t="s">
        <v>4086</v>
      </c>
      <c r="E4163" s="10" t="str">
        <f>"644020240513162748175932"</f>
        <v>644020240513162748175932</v>
      </c>
      <c r="F4163" s="9"/>
    </row>
    <row r="4164" s="2" customFormat="1" ht="30" customHeight="1" spans="1:6">
      <c r="A4164" s="9">
        <v>4161</v>
      </c>
      <c r="B4164" s="10" t="s">
        <v>3779</v>
      </c>
      <c r="C4164" s="10" t="s">
        <v>3780</v>
      </c>
      <c r="D4164" s="10" t="s">
        <v>4087</v>
      </c>
      <c r="E4164" s="10" t="str">
        <f>"644020240514085450177934"</f>
        <v>644020240514085450177934</v>
      </c>
      <c r="F4164" s="9"/>
    </row>
    <row r="4165" s="2" customFormat="1" ht="30" customHeight="1" spans="1:6">
      <c r="A4165" s="9">
        <v>4162</v>
      </c>
      <c r="B4165" s="10" t="s">
        <v>3779</v>
      </c>
      <c r="C4165" s="10" t="s">
        <v>3780</v>
      </c>
      <c r="D4165" s="10" t="s">
        <v>4088</v>
      </c>
      <c r="E4165" s="10" t="str">
        <f>"644020240514085911177953"</f>
        <v>644020240514085911177953</v>
      </c>
      <c r="F4165" s="9"/>
    </row>
    <row r="4166" s="2" customFormat="1" ht="30" customHeight="1" spans="1:6">
      <c r="A4166" s="9">
        <v>4163</v>
      </c>
      <c r="B4166" s="10" t="s">
        <v>3779</v>
      </c>
      <c r="C4166" s="10" t="s">
        <v>3780</v>
      </c>
      <c r="D4166" s="10" t="s">
        <v>4089</v>
      </c>
      <c r="E4166" s="10" t="str">
        <f>"644020240514091015178016"</f>
        <v>644020240514091015178016</v>
      </c>
      <c r="F4166" s="9"/>
    </row>
    <row r="4167" s="2" customFormat="1" ht="30" customHeight="1" spans="1:6">
      <c r="A4167" s="9">
        <v>4164</v>
      </c>
      <c r="B4167" s="10" t="s">
        <v>3779</v>
      </c>
      <c r="C4167" s="10" t="s">
        <v>3780</v>
      </c>
      <c r="D4167" s="10" t="s">
        <v>4090</v>
      </c>
      <c r="E4167" s="10" t="str">
        <f>"644020240513101245173236"</f>
        <v>644020240513101245173236</v>
      </c>
      <c r="F4167" s="9"/>
    </row>
    <row r="4168" s="2" customFormat="1" ht="30" customHeight="1" spans="1:6">
      <c r="A4168" s="9">
        <v>4165</v>
      </c>
      <c r="B4168" s="10" t="s">
        <v>3779</v>
      </c>
      <c r="C4168" s="10" t="s">
        <v>3780</v>
      </c>
      <c r="D4168" s="10" t="s">
        <v>4091</v>
      </c>
      <c r="E4168" s="10" t="str">
        <f>"644020240514090026177960"</f>
        <v>644020240514090026177960</v>
      </c>
      <c r="F4168" s="9"/>
    </row>
    <row r="4169" s="2" customFormat="1" ht="30" customHeight="1" spans="1:6">
      <c r="A4169" s="9">
        <v>4166</v>
      </c>
      <c r="B4169" s="10" t="s">
        <v>3779</v>
      </c>
      <c r="C4169" s="10" t="s">
        <v>3780</v>
      </c>
      <c r="D4169" s="10" t="s">
        <v>4092</v>
      </c>
      <c r="E4169" s="10" t="str">
        <f>"644020240514093000178110"</f>
        <v>644020240514093000178110</v>
      </c>
      <c r="F4169" s="9"/>
    </row>
    <row r="4170" s="2" customFormat="1" ht="30" customHeight="1" spans="1:6">
      <c r="A4170" s="9">
        <v>4167</v>
      </c>
      <c r="B4170" s="10" t="s">
        <v>3779</v>
      </c>
      <c r="C4170" s="10" t="s">
        <v>3780</v>
      </c>
      <c r="D4170" s="10" t="s">
        <v>4093</v>
      </c>
      <c r="E4170" s="10" t="str">
        <f>"644020240514093515178134"</f>
        <v>644020240514093515178134</v>
      </c>
      <c r="F4170" s="9"/>
    </row>
    <row r="4171" s="2" customFormat="1" ht="30" customHeight="1" spans="1:6">
      <c r="A4171" s="9">
        <v>4168</v>
      </c>
      <c r="B4171" s="10" t="s">
        <v>3779</v>
      </c>
      <c r="C4171" s="10" t="s">
        <v>3780</v>
      </c>
      <c r="D4171" s="10" t="s">
        <v>4094</v>
      </c>
      <c r="E4171" s="10" t="str">
        <f>"644020240513190628176532"</f>
        <v>644020240513190628176532</v>
      </c>
      <c r="F4171" s="9"/>
    </row>
    <row r="4172" s="2" customFormat="1" ht="30" customHeight="1" spans="1:6">
      <c r="A4172" s="9">
        <v>4169</v>
      </c>
      <c r="B4172" s="10" t="s">
        <v>3779</v>
      </c>
      <c r="C4172" s="10" t="s">
        <v>3780</v>
      </c>
      <c r="D4172" s="10" t="s">
        <v>4095</v>
      </c>
      <c r="E4172" s="10" t="str">
        <f>"644020240512110638168754"</f>
        <v>644020240512110638168754</v>
      </c>
      <c r="F4172" s="9"/>
    </row>
    <row r="4173" s="2" customFormat="1" ht="30" customHeight="1" spans="1:6">
      <c r="A4173" s="9">
        <v>4170</v>
      </c>
      <c r="B4173" s="10" t="s">
        <v>3779</v>
      </c>
      <c r="C4173" s="10" t="s">
        <v>3780</v>
      </c>
      <c r="D4173" s="10" t="s">
        <v>4096</v>
      </c>
      <c r="E4173" s="10" t="str">
        <f>"644020240514084205177889"</f>
        <v>644020240514084205177889</v>
      </c>
      <c r="F4173" s="9"/>
    </row>
    <row r="4174" s="2" customFormat="1" ht="30" customHeight="1" spans="1:6">
      <c r="A4174" s="9">
        <v>4171</v>
      </c>
      <c r="B4174" s="10" t="s">
        <v>3779</v>
      </c>
      <c r="C4174" s="10" t="s">
        <v>3780</v>
      </c>
      <c r="D4174" s="10" t="s">
        <v>4097</v>
      </c>
      <c r="E4174" s="10" t="str">
        <f>"644020240513090645172558"</f>
        <v>644020240513090645172558</v>
      </c>
      <c r="F4174" s="9"/>
    </row>
    <row r="4175" s="2" customFormat="1" ht="30" customHeight="1" spans="1:6">
      <c r="A4175" s="9">
        <v>4172</v>
      </c>
      <c r="B4175" s="10" t="s">
        <v>3779</v>
      </c>
      <c r="C4175" s="10" t="s">
        <v>3780</v>
      </c>
      <c r="D4175" s="10" t="s">
        <v>4098</v>
      </c>
      <c r="E4175" s="10" t="str">
        <f>"644020240514095449178244"</f>
        <v>644020240514095449178244</v>
      </c>
      <c r="F4175" s="9"/>
    </row>
    <row r="4176" s="2" customFormat="1" ht="30" customHeight="1" spans="1:6">
      <c r="A4176" s="9">
        <v>4173</v>
      </c>
      <c r="B4176" s="10" t="s">
        <v>3779</v>
      </c>
      <c r="C4176" s="10" t="s">
        <v>3780</v>
      </c>
      <c r="D4176" s="10" t="s">
        <v>4099</v>
      </c>
      <c r="E4176" s="10" t="str">
        <f>"644020240513203245176837"</f>
        <v>644020240513203245176837</v>
      </c>
      <c r="F4176" s="9"/>
    </row>
    <row r="4177" s="2" customFormat="1" ht="30" customHeight="1" spans="1:6">
      <c r="A4177" s="9">
        <v>4174</v>
      </c>
      <c r="B4177" s="10" t="s">
        <v>3779</v>
      </c>
      <c r="C4177" s="10" t="s">
        <v>3780</v>
      </c>
      <c r="D4177" s="10" t="s">
        <v>4100</v>
      </c>
      <c r="E4177" s="10" t="str">
        <f>"644020240513111503173829"</f>
        <v>644020240513111503173829</v>
      </c>
      <c r="F4177" s="9"/>
    </row>
    <row r="4178" s="2" customFormat="1" ht="30" customHeight="1" spans="1:6">
      <c r="A4178" s="9">
        <v>4175</v>
      </c>
      <c r="B4178" s="10" t="s">
        <v>3779</v>
      </c>
      <c r="C4178" s="10" t="s">
        <v>3780</v>
      </c>
      <c r="D4178" s="10" t="s">
        <v>4101</v>
      </c>
      <c r="E4178" s="10" t="str">
        <f>"644020240514101156178319"</f>
        <v>644020240514101156178319</v>
      </c>
      <c r="F4178" s="9"/>
    </row>
    <row r="4179" s="2" customFormat="1" ht="30" customHeight="1" spans="1:6">
      <c r="A4179" s="9">
        <v>4176</v>
      </c>
      <c r="B4179" s="10" t="s">
        <v>3779</v>
      </c>
      <c r="C4179" s="10" t="s">
        <v>3780</v>
      </c>
      <c r="D4179" s="10" t="s">
        <v>1769</v>
      </c>
      <c r="E4179" s="10" t="str">
        <f>"644020240514100509178292"</f>
        <v>644020240514100509178292</v>
      </c>
      <c r="F4179" s="9"/>
    </row>
    <row r="4180" s="2" customFormat="1" ht="30" customHeight="1" spans="1:6">
      <c r="A4180" s="9">
        <v>4177</v>
      </c>
      <c r="B4180" s="10" t="s">
        <v>3779</v>
      </c>
      <c r="C4180" s="10" t="s">
        <v>3780</v>
      </c>
      <c r="D4180" s="10" t="s">
        <v>4102</v>
      </c>
      <c r="E4180" s="10" t="str">
        <f>"644020240513092316172744"</f>
        <v>644020240513092316172744</v>
      </c>
      <c r="F4180" s="9"/>
    </row>
    <row r="4181" s="2" customFormat="1" ht="30" customHeight="1" spans="1:6">
      <c r="A4181" s="9">
        <v>4178</v>
      </c>
      <c r="B4181" s="10" t="s">
        <v>3779</v>
      </c>
      <c r="C4181" s="10" t="s">
        <v>3780</v>
      </c>
      <c r="D4181" s="10" t="s">
        <v>4103</v>
      </c>
      <c r="E4181" s="10" t="str">
        <f>"644020240513093228172830"</f>
        <v>644020240513093228172830</v>
      </c>
      <c r="F4181" s="9"/>
    </row>
    <row r="4182" s="2" customFormat="1" ht="30" customHeight="1" spans="1:6">
      <c r="A4182" s="9">
        <v>4179</v>
      </c>
      <c r="B4182" s="10" t="s">
        <v>3779</v>
      </c>
      <c r="C4182" s="10" t="s">
        <v>3780</v>
      </c>
      <c r="D4182" s="10" t="s">
        <v>4104</v>
      </c>
      <c r="E4182" s="10" t="str">
        <f>"644020240514102300178391"</f>
        <v>644020240514102300178391</v>
      </c>
      <c r="F4182" s="9"/>
    </row>
    <row r="4183" s="2" customFormat="1" ht="30" customHeight="1" spans="1:6">
      <c r="A4183" s="9">
        <v>4180</v>
      </c>
      <c r="B4183" s="10" t="s">
        <v>3779</v>
      </c>
      <c r="C4183" s="10" t="s">
        <v>3780</v>
      </c>
      <c r="D4183" s="10" t="s">
        <v>4105</v>
      </c>
      <c r="E4183" s="10" t="str">
        <f>"644020240514092214178077"</f>
        <v>644020240514092214178077</v>
      </c>
      <c r="F4183" s="9"/>
    </row>
    <row r="4184" s="2" customFormat="1" ht="30" customHeight="1" spans="1:6">
      <c r="A4184" s="9">
        <v>4181</v>
      </c>
      <c r="B4184" s="10" t="s">
        <v>3779</v>
      </c>
      <c r="C4184" s="10" t="s">
        <v>3780</v>
      </c>
      <c r="D4184" s="10" t="s">
        <v>4106</v>
      </c>
      <c r="E4184" s="10" t="str">
        <f>"644020240514095211178231"</f>
        <v>644020240514095211178231</v>
      </c>
      <c r="F4184" s="9"/>
    </row>
    <row r="4185" s="2" customFormat="1" ht="30" customHeight="1" spans="1:6">
      <c r="A4185" s="9">
        <v>4182</v>
      </c>
      <c r="B4185" s="10" t="s">
        <v>3779</v>
      </c>
      <c r="C4185" s="10" t="s">
        <v>3780</v>
      </c>
      <c r="D4185" s="10" t="s">
        <v>4107</v>
      </c>
      <c r="E4185" s="10" t="str">
        <f>"644020240514104057178498"</f>
        <v>644020240514104057178498</v>
      </c>
      <c r="F4185" s="9"/>
    </row>
    <row r="4186" s="2" customFormat="1" ht="30" customHeight="1" spans="1:6">
      <c r="A4186" s="9">
        <v>4183</v>
      </c>
      <c r="B4186" s="10" t="s">
        <v>3779</v>
      </c>
      <c r="C4186" s="10" t="s">
        <v>3780</v>
      </c>
      <c r="D4186" s="10" t="s">
        <v>4108</v>
      </c>
      <c r="E4186" s="10" t="str">
        <f>"644020240514104435178524"</f>
        <v>644020240514104435178524</v>
      </c>
      <c r="F4186" s="9"/>
    </row>
    <row r="4187" s="2" customFormat="1" ht="30" customHeight="1" spans="1:6">
      <c r="A4187" s="9">
        <v>4184</v>
      </c>
      <c r="B4187" s="10" t="s">
        <v>3779</v>
      </c>
      <c r="C4187" s="10" t="s">
        <v>3780</v>
      </c>
      <c r="D4187" s="10" t="s">
        <v>4109</v>
      </c>
      <c r="E4187" s="10" t="str">
        <f>"644020240513155223175710"</f>
        <v>644020240513155223175710</v>
      </c>
      <c r="F4187" s="9"/>
    </row>
    <row r="4188" s="2" customFormat="1" ht="30" customHeight="1" spans="1:6">
      <c r="A4188" s="9">
        <v>4185</v>
      </c>
      <c r="B4188" s="10" t="s">
        <v>3779</v>
      </c>
      <c r="C4188" s="10" t="s">
        <v>3780</v>
      </c>
      <c r="D4188" s="10" t="s">
        <v>4110</v>
      </c>
      <c r="E4188" s="10" t="str">
        <f>"644020240514104410178519"</f>
        <v>644020240514104410178519</v>
      </c>
      <c r="F4188" s="9"/>
    </row>
    <row r="4189" s="2" customFormat="1" ht="30" customHeight="1" spans="1:6">
      <c r="A4189" s="9">
        <v>4186</v>
      </c>
      <c r="B4189" s="10" t="s">
        <v>3779</v>
      </c>
      <c r="C4189" s="10" t="s">
        <v>3780</v>
      </c>
      <c r="D4189" s="10" t="s">
        <v>4111</v>
      </c>
      <c r="E4189" s="10" t="str">
        <f>"644020240512215636171302"</f>
        <v>644020240512215636171302</v>
      </c>
      <c r="F4189" s="9"/>
    </row>
    <row r="4190" s="2" customFormat="1" ht="30" customHeight="1" spans="1:6">
      <c r="A4190" s="9">
        <v>4187</v>
      </c>
      <c r="B4190" s="10" t="s">
        <v>3779</v>
      </c>
      <c r="C4190" s="10" t="s">
        <v>3780</v>
      </c>
      <c r="D4190" s="10" t="s">
        <v>2177</v>
      </c>
      <c r="E4190" s="10" t="str">
        <f>"644020240514084156177887"</f>
        <v>644020240514084156177887</v>
      </c>
      <c r="F4190" s="9"/>
    </row>
    <row r="4191" s="2" customFormat="1" ht="30" customHeight="1" spans="1:6">
      <c r="A4191" s="9">
        <v>4188</v>
      </c>
      <c r="B4191" s="10" t="s">
        <v>3779</v>
      </c>
      <c r="C4191" s="10" t="s">
        <v>3780</v>
      </c>
      <c r="D4191" s="10" t="s">
        <v>4112</v>
      </c>
      <c r="E4191" s="10" t="str">
        <f>"644020240513224852177447"</f>
        <v>644020240513224852177447</v>
      </c>
      <c r="F4191" s="9"/>
    </row>
    <row r="4192" s="2" customFormat="1" ht="30" customHeight="1" spans="1:6">
      <c r="A4192" s="9">
        <v>4189</v>
      </c>
      <c r="B4192" s="10" t="s">
        <v>3779</v>
      </c>
      <c r="C4192" s="10" t="s">
        <v>3780</v>
      </c>
      <c r="D4192" s="10" t="s">
        <v>4113</v>
      </c>
      <c r="E4192" s="10" t="str">
        <f>"644020240514104822178547"</f>
        <v>644020240514104822178547</v>
      </c>
      <c r="F4192" s="9"/>
    </row>
    <row r="4193" s="2" customFormat="1" ht="30" customHeight="1" spans="1:6">
      <c r="A4193" s="9">
        <v>4190</v>
      </c>
      <c r="B4193" s="10" t="s">
        <v>3779</v>
      </c>
      <c r="C4193" s="10" t="s">
        <v>3780</v>
      </c>
      <c r="D4193" s="10" t="s">
        <v>4114</v>
      </c>
      <c r="E4193" s="10" t="str">
        <f>"644020240514101254178324"</f>
        <v>644020240514101254178324</v>
      </c>
      <c r="F4193" s="9"/>
    </row>
    <row r="4194" s="2" customFormat="1" ht="30" customHeight="1" spans="1:6">
      <c r="A4194" s="9">
        <v>4191</v>
      </c>
      <c r="B4194" s="10" t="s">
        <v>3779</v>
      </c>
      <c r="C4194" s="10" t="s">
        <v>3780</v>
      </c>
      <c r="D4194" s="10" t="s">
        <v>4115</v>
      </c>
      <c r="E4194" s="10" t="str">
        <f>"644020240514101136178314"</f>
        <v>644020240514101136178314</v>
      </c>
      <c r="F4194" s="9"/>
    </row>
    <row r="4195" s="2" customFormat="1" ht="30" customHeight="1" spans="1:6">
      <c r="A4195" s="9">
        <v>4192</v>
      </c>
      <c r="B4195" s="10" t="s">
        <v>3779</v>
      </c>
      <c r="C4195" s="10" t="s">
        <v>3780</v>
      </c>
      <c r="D4195" s="10" t="s">
        <v>4116</v>
      </c>
      <c r="E4195" s="10" t="str">
        <f>"644020240512124425169190"</f>
        <v>644020240512124425169190</v>
      </c>
      <c r="F4195" s="9"/>
    </row>
    <row r="4196" s="2" customFormat="1" ht="30" customHeight="1" spans="1:6">
      <c r="A4196" s="9">
        <v>4193</v>
      </c>
      <c r="B4196" s="10" t="s">
        <v>3779</v>
      </c>
      <c r="C4196" s="10" t="s">
        <v>3780</v>
      </c>
      <c r="D4196" s="10" t="s">
        <v>4117</v>
      </c>
      <c r="E4196" s="10" t="str">
        <f>"644020240513101316173245"</f>
        <v>644020240513101316173245</v>
      </c>
      <c r="F4196" s="9"/>
    </row>
    <row r="4197" s="2" customFormat="1" ht="30" customHeight="1" spans="1:6">
      <c r="A4197" s="9">
        <v>4194</v>
      </c>
      <c r="B4197" s="10" t="s">
        <v>3779</v>
      </c>
      <c r="C4197" s="10" t="s">
        <v>3780</v>
      </c>
      <c r="D4197" s="10" t="s">
        <v>4118</v>
      </c>
      <c r="E4197" s="10" t="str">
        <f>"644020240514093618178138"</f>
        <v>644020240514093618178138</v>
      </c>
      <c r="F4197" s="9"/>
    </row>
    <row r="4198" s="2" customFormat="1" ht="30" customHeight="1" spans="1:6">
      <c r="A4198" s="9">
        <v>4195</v>
      </c>
      <c r="B4198" s="10" t="s">
        <v>3779</v>
      </c>
      <c r="C4198" s="10" t="s">
        <v>3780</v>
      </c>
      <c r="D4198" s="10" t="s">
        <v>4119</v>
      </c>
      <c r="E4198" s="10" t="str">
        <f>"644020240513111640173848"</f>
        <v>644020240513111640173848</v>
      </c>
      <c r="F4198" s="9"/>
    </row>
    <row r="4199" s="2" customFormat="1" ht="30" customHeight="1" spans="1:6">
      <c r="A4199" s="9">
        <v>4196</v>
      </c>
      <c r="B4199" s="10" t="s">
        <v>3779</v>
      </c>
      <c r="C4199" s="10" t="s">
        <v>3780</v>
      </c>
      <c r="D4199" s="10" t="s">
        <v>4120</v>
      </c>
      <c r="E4199" s="10" t="str">
        <f>"644020240514105106178565"</f>
        <v>644020240514105106178565</v>
      </c>
      <c r="F4199" s="9"/>
    </row>
    <row r="4200" s="2" customFormat="1" ht="30" customHeight="1" spans="1:6">
      <c r="A4200" s="9">
        <v>4197</v>
      </c>
      <c r="B4200" s="10" t="s">
        <v>3779</v>
      </c>
      <c r="C4200" s="10" t="s">
        <v>3780</v>
      </c>
      <c r="D4200" s="10" t="s">
        <v>4121</v>
      </c>
      <c r="E4200" s="10" t="str">
        <f>"644020240512100803168433"</f>
        <v>644020240512100803168433</v>
      </c>
      <c r="F4200" s="9"/>
    </row>
    <row r="4201" s="2" customFormat="1" ht="30" customHeight="1" spans="1:6">
      <c r="A4201" s="9">
        <v>4198</v>
      </c>
      <c r="B4201" s="10" t="s">
        <v>3779</v>
      </c>
      <c r="C4201" s="10" t="s">
        <v>3780</v>
      </c>
      <c r="D4201" s="10" t="s">
        <v>4122</v>
      </c>
      <c r="E4201" s="10" t="str">
        <f>"644020240514110653178624"</f>
        <v>644020240514110653178624</v>
      </c>
      <c r="F4201" s="9"/>
    </row>
    <row r="4202" s="2" customFormat="1" ht="30" customHeight="1" spans="1:6">
      <c r="A4202" s="9">
        <v>4199</v>
      </c>
      <c r="B4202" s="10" t="s">
        <v>3779</v>
      </c>
      <c r="C4202" s="10" t="s">
        <v>3780</v>
      </c>
      <c r="D4202" s="10" t="s">
        <v>4123</v>
      </c>
      <c r="E4202" s="10" t="str">
        <f>"644020240514112345178696"</f>
        <v>644020240514112345178696</v>
      </c>
      <c r="F4202" s="9"/>
    </row>
    <row r="4203" s="2" customFormat="1" ht="30" customHeight="1" spans="1:6">
      <c r="A4203" s="9">
        <v>4200</v>
      </c>
      <c r="B4203" s="10" t="s">
        <v>3779</v>
      </c>
      <c r="C4203" s="10" t="s">
        <v>3780</v>
      </c>
      <c r="D4203" s="10" t="s">
        <v>4124</v>
      </c>
      <c r="E4203" s="10" t="str">
        <f>"644020240514112650178704"</f>
        <v>644020240514112650178704</v>
      </c>
      <c r="F4203" s="9"/>
    </row>
    <row r="4204" s="2" customFormat="1" ht="30" customHeight="1" spans="1:6">
      <c r="A4204" s="9">
        <v>4201</v>
      </c>
      <c r="B4204" s="10" t="s">
        <v>3779</v>
      </c>
      <c r="C4204" s="10" t="s">
        <v>3780</v>
      </c>
      <c r="D4204" s="10" t="s">
        <v>4125</v>
      </c>
      <c r="E4204" s="10" t="str">
        <f>"644020240514112011178676"</f>
        <v>644020240514112011178676</v>
      </c>
      <c r="F4204" s="9"/>
    </row>
    <row r="4205" s="2" customFormat="1" ht="30" customHeight="1" spans="1:6">
      <c r="A4205" s="9">
        <v>4202</v>
      </c>
      <c r="B4205" s="10" t="s">
        <v>3779</v>
      </c>
      <c r="C4205" s="10" t="s">
        <v>3780</v>
      </c>
      <c r="D4205" s="10" t="s">
        <v>4126</v>
      </c>
      <c r="E4205" s="10" t="str">
        <f>"644020240512175134170280"</f>
        <v>644020240512175134170280</v>
      </c>
      <c r="F4205" s="9"/>
    </row>
    <row r="4206" s="2" customFormat="1" ht="30" customHeight="1" spans="1:6">
      <c r="A4206" s="9">
        <v>4203</v>
      </c>
      <c r="B4206" s="10" t="s">
        <v>3779</v>
      </c>
      <c r="C4206" s="10" t="s">
        <v>3780</v>
      </c>
      <c r="D4206" s="10" t="s">
        <v>4127</v>
      </c>
      <c r="E4206" s="10" t="str">
        <f>"644020240514105107178566"</f>
        <v>644020240514105107178566</v>
      </c>
      <c r="F4206" s="9"/>
    </row>
    <row r="4207" s="2" customFormat="1" ht="30" customHeight="1" spans="1:6">
      <c r="A4207" s="9">
        <v>4204</v>
      </c>
      <c r="B4207" s="10" t="s">
        <v>3779</v>
      </c>
      <c r="C4207" s="10" t="s">
        <v>3780</v>
      </c>
      <c r="D4207" s="10" t="s">
        <v>4128</v>
      </c>
      <c r="E4207" s="10" t="str">
        <f>"644020240512091852168194"</f>
        <v>644020240512091852168194</v>
      </c>
      <c r="F4207" s="9"/>
    </row>
    <row r="4208" s="2" customFormat="1" ht="30" customHeight="1" spans="1:6">
      <c r="A4208" s="9">
        <v>4205</v>
      </c>
      <c r="B4208" s="10" t="s">
        <v>3779</v>
      </c>
      <c r="C4208" s="10" t="s">
        <v>3780</v>
      </c>
      <c r="D4208" s="10" t="s">
        <v>4129</v>
      </c>
      <c r="E4208" s="10" t="str">
        <f>"644020240513123217174312"</f>
        <v>644020240513123217174312</v>
      </c>
      <c r="F4208" s="9"/>
    </row>
    <row r="4209" s="2" customFormat="1" ht="30" customHeight="1" spans="1:6">
      <c r="A4209" s="9">
        <v>4206</v>
      </c>
      <c r="B4209" s="10" t="s">
        <v>3779</v>
      </c>
      <c r="C4209" s="10" t="s">
        <v>3780</v>
      </c>
      <c r="D4209" s="10" t="s">
        <v>4130</v>
      </c>
      <c r="E4209" s="10" t="str">
        <f>"644020240514112337178695"</f>
        <v>644020240514112337178695</v>
      </c>
      <c r="F4209" s="9"/>
    </row>
    <row r="4210" s="2" customFormat="1" ht="30" customHeight="1" spans="1:6">
      <c r="A4210" s="9">
        <v>4207</v>
      </c>
      <c r="B4210" s="10" t="s">
        <v>3779</v>
      </c>
      <c r="C4210" s="10" t="s">
        <v>3780</v>
      </c>
      <c r="D4210" s="10" t="s">
        <v>4131</v>
      </c>
      <c r="E4210" s="10" t="str">
        <f>"644020240512213354171172"</f>
        <v>644020240512213354171172</v>
      </c>
      <c r="F4210" s="9"/>
    </row>
    <row r="4211" s="2" customFormat="1" ht="30" customHeight="1" spans="1:6">
      <c r="A4211" s="9">
        <v>4208</v>
      </c>
      <c r="B4211" s="10" t="s">
        <v>3779</v>
      </c>
      <c r="C4211" s="10" t="s">
        <v>3780</v>
      </c>
      <c r="D4211" s="10" t="s">
        <v>4132</v>
      </c>
      <c r="E4211" s="10" t="str">
        <f>"644020240514121323178858"</f>
        <v>644020240514121323178858</v>
      </c>
      <c r="F4211" s="9"/>
    </row>
    <row r="4212" s="2" customFormat="1" ht="30" customHeight="1" spans="1:6">
      <c r="A4212" s="9">
        <v>4209</v>
      </c>
      <c r="B4212" s="10" t="s">
        <v>3779</v>
      </c>
      <c r="C4212" s="10" t="s">
        <v>3780</v>
      </c>
      <c r="D4212" s="10" t="s">
        <v>4133</v>
      </c>
      <c r="E4212" s="10" t="str">
        <f>"644020240514084710177909"</f>
        <v>644020240514084710177909</v>
      </c>
      <c r="F4212" s="9"/>
    </row>
    <row r="4213" s="2" customFormat="1" ht="30" customHeight="1" spans="1:6">
      <c r="A4213" s="9">
        <v>4210</v>
      </c>
      <c r="B4213" s="10" t="s">
        <v>3779</v>
      </c>
      <c r="C4213" s="10" t="s">
        <v>3780</v>
      </c>
      <c r="D4213" s="10" t="s">
        <v>4134</v>
      </c>
      <c r="E4213" s="10" t="str">
        <f>"644020240514122412178885"</f>
        <v>644020240514122412178885</v>
      </c>
      <c r="F4213" s="9"/>
    </row>
    <row r="4214" s="2" customFormat="1" ht="30" customHeight="1" spans="1:6">
      <c r="A4214" s="9">
        <v>4211</v>
      </c>
      <c r="B4214" s="10" t="s">
        <v>3779</v>
      </c>
      <c r="C4214" s="10" t="s">
        <v>3780</v>
      </c>
      <c r="D4214" s="10" t="s">
        <v>4135</v>
      </c>
      <c r="E4214" s="10" t="str">
        <f>"644020240514114432178781"</f>
        <v>644020240514114432178781</v>
      </c>
      <c r="F4214" s="9"/>
    </row>
    <row r="4215" s="2" customFormat="1" ht="30" customHeight="1" spans="1:6">
      <c r="A4215" s="9">
        <v>4212</v>
      </c>
      <c r="B4215" s="10" t="s">
        <v>3779</v>
      </c>
      <c r="C4215" s="10" t="s">
        <v>3780</v>
      </c>
      <c r="D4215" s="10" t="s">
        <v>4136</v>
      </c>
      <c r="E4215" s="10" t="str">
        <f>"644020240514112959178720"</f>
        <v>644020240514112959178720</v>
      </c>
      <c r="F4215" s="9"/>
    </row>
    <row r="4216" s="2" customFormat="1" ht="30" customHeight="1" spans="1:6">
      <c r="A4216" s="9">
        <v>4213</v>
      </c>
      <c r="B4216" s="10" t="s">
        <v>3779</v>
      </c>
      <c r="C4216" s="10" t="s">
        <v>3780</v>
      </c>
      <c r="D4216" s="10" t="s">
        <v>4137</v>
      </c>
      <c r="E4216" s="10" t="str">
        <f>"644020240514120042178825"</f>
        <v>644020240514120042178825</v>
      </c>
      <c r="F4216" s="9"/>
    </row>
    <row r="4217" s="2" customFormat="1" ht="30" customHeight="1" spans="1:6">
      <c r="A4217" s="9">
        <v>4214</v>
      </c>
      <c r="B4217" s="10" t="s">
        <v>3779</v>
      </c>
      <c r="C4217" s="10" t="s">
        <v>3780</v>
      </c>
      <c r="D4217" s="10" t="s">
        <v>4138</v>
      </c>
      <c r="E4217" s="10" t="str">
        <f>"644020240514122950178896"</f>
        <v>644020240514122950178896</v>
      </c>
      <c r="F4217" s="9"/>
    </row>
    <row r="4218" s="2" customFormat="1" ht="30" customHeight="1" spans="1:6">
      <c r="A4218" s="9">
        <v>4215</v>
      </c>
      <c r="B4218" s="10" t="s">
        <v>3779</v>
      </c>
      <c r="C4218" s="10" t="s">
        <v>3780</v>
      </c>
      <c r="D4218" s="10" t="s">
        <v>4139</v>
      </c>
      <c r="E4218" s="10" t="str">
        <f>"644020240513232003177553"</f>
        <v>644020240513232003177553</v>
      </c>
      <c r="F4218" s="9"/>
    </row>
    <row r="4219" s="2" customFormat="1" ht="30" customHeight="1" spans="1:6">
      <c r="A4219" s="9">
        <v>4216</v>
      </c>
      <c r="B4219" s="10" t="s">
        <v>3779</v>
      </c>
      <c r="C4219" s="10" t="s">
        <v>3780</v>
      </c>
      <c r="D4219" s="10" t="s">
        <v>3811</v>
      </c>
      <c r="E4219" s="10" t="str">
        <f>"644020240513165218176059"</f>
        <v>644020240513165218176059</v>
      </c>
      <c r="F4219" s="9"/>
    </row>
    <row r="4220" s="2" customFormat="1" ht="30" customHeight="1" spans="1:6">
      <c r="A4220" s="9">
        <v>4217</v>
      </c>
      <c r="B4220" s="10" t="s">
        <v>3779</v>
      </c>
      <c r="C4220" s="10" t="s">
        <v>3780</v>
      </c>
      <c r="D4220" s="10" t="s">
        <v>4140</v>
      </c>
      <c r="E4220" s="10" t="str">
        <f>"644020240514124531178928"</f>
        <v>644020240514124531178928</v>
      </c>
      <c r="F4220" s="9"/>
    </row>
    <row r="4221" s="2" customFormat="1" ht="30" customHeight="1" spans="1:6">
      <c r="A4221" s="9">
        <v>4218</v>
      </c>
      <c r="B4221" s="10" t="s">
        <v>3779</v>
      </c>
      <c r="C4221" s="10" t="s">
        <v>3780</v>
      </c>
      <c r="D4221" s="10" t="s">
        <v>4141</v>
      </c>
      <c r="E4221" s="10" t="str">
        <f>"644020240512095131168329"</f>
        <v>644020240512095131168329</v>
      </c>
      <c r="F4221" s="9"/>
    </row>
    <row r="4222" s="2" customFormat="1" ht="30" customHeight="1" spans="1:6">
      <c r="A4222" s="9">
        <v>4219</v>
      </c>
      <c r="B4222" s="10" t="s">
        <v>3779</v>
      </c>
      <c r="C4222" s="10" t="s">
        <v>3780</v>
      </c>
      <c r="D4222" s="10" t="s">
        <v>4142</v>
      </c>
      <c r="E4222" s="10" t="str">
        <f>"644020240514124404178924"</f>
        <v>644020240514124404178924</v>
      </c>
      <c r="F4222" s="9"/>
    </row>
    <row r="4223" s="2" customFormat="1" ht="30" customHeight="1" spans="1:6">
      <c r="A4223" s="9">
        <v>4220</v>
      </c>
      <c r="B4223" s="10" t="s">
        <v>3779</v>
      </c>
      <c r="C4223" s="10" t="s">
        <v>3780</v>
      </c>
      <c r="D4223" s="10" t="s">
        <v>4143</v>
      </c>
      <c r="E4223" s="10" t="str">
        <f>"644020240512124147169175"</f>
        <v>644020240512124147169175</v>
      </c>
      <c r="F4223" s="9"/>
    </row>
    <row r="4224" s="2" customFormat="1" ht="30" customHeight="1" spans="1:6">
      <c r="A4224" s="9">
        <v>4221</v>
      </c>
      <c r="B4224" s="10" t="s">
        <v>3779</v>
      </c>
      <c r="C4224" s="10" t="s">
        <v>3780</v>
      </c>
      <c r="D4224" s="10" t="s">
        <v>4144</v>
      </c>
      <c r="E4224" s="10" t="str">
        <f>"644020240514130606178974"</f>
        <v>644020240514130606178974</v>
      </c>
      <c r="F4224" s="9"/>
    </row>
    <row r="4225" s="2" customFormat="1" ht="30" customHeight="1" spans="1:6">
      <c r="A4225" s="9">
        <v>4222</v>
      </c>
      <c r="B4225" s="10" t="s">
        <v>3779</v>
      </c>
      <c r="C4225" s="10" t="s">
        <v>3780</v>
      </c>
      <c r="D4225" s="10" t="s">
        <v>4145</v>
      </c>
      <c r="E4225" s="10" t="str">
        <f>"644020240513150837175263"</f>
        <v>644020240513150837175263</v>
      </c>
      <c r="F4225" s="9"/>
    </row>
    <row r="4226" s="2" customFormat="1" ht="30" customHeight="1" spans="1:6">
      <c r="A4226" s="9">
        <v>4223</v>
      </c>
      <c r="B4226" s="10" t="s">
        <v>3779</v>
      </c>
      <c r="C4226" s="10" t="s">
        <v>3780</v>
      </c>
      <c r="D4226" s="10" t="s">
        <v>4146</v>
      </c>
      <c r="E4226" s="10" t="str">
        <f>"644020240513141129174846"</f>
        <v>644020240513141129174846</v>
      </c>
      <c r="F4226" s="9"/>
    </row>
    <row r="4227" s="2" customFormat="1" ht="30" customHeight="1" spans="1:6">
      <c r="A4227" s="9">
        <v>4224</v>
      </c>
      <c r="B4227" s="10" t="s">
        <v>3779</v>
      </c>
      <c r="C4227" s="10" t="s">
        <v>3780</v>
      </c>
      <c r="D4227" s="10" t="s">
        <v>4147</v>
      </c>
      <c r="E4227" s="10" t="str">
        <f>"644020240514124455178926"</f>
        <v>644020240514124455178926</v>
      </c>
      <c r="F4227" s="9"/>
    </row>
    <row r="4228" s="2" customFormat="1" ht="30" customHeight="1" spans="1:6">
      <c r="A4228" s="9">
        <v>4225</v>
      </c>
      <c r="B4228" s="10" t="s">
        <v>3779</v>
      </c>
      <c r="C4228" s="10" t="s">
        <v>3780</v>
      </c>
      <c r="D4228" s="10" t="s">
        <v>4148</v>
      </c>
      <c r="E4228" s="10" t="str">
        <f>"644020240513143058174979"</f>
        <v>644020240513143058174979</v>
      </c>
      <c r="F4228" s="9"/>
    </row>
    <row r="4229" s="2" customFormat="1" ht="30" customHeight="1" spans="1:6">
      <c r="A4229" s="9">
        <v>4226</v>
      </c>
      <c r="B4229" s="10" t="s">
        <v>3779</v>
      </c>
      <c r="C4229" s="10" t="s">
        <v>3780</v>
      </c>
      <c r="D4229" s="10" t="s">
        <v>4149</v>
      </c>
      <c r="E4229" s="10" t="str">
        <f>"644020240514130805178979"</f>
        <v>644020240514130805178979</v>
      </c>
      <c r="F4229" s="9"/>
    </row>
    <row r="4230" s="2" customFormat="1" ht="30" customHeight="1" spans="1:6">
      <c r="A4230" s="9">
        <v>4227</v>
      </c>
      <c r="B4230" s="10" t="s">
        <v>3779</v>
      </c>
      <c r="C4230" s="10" t="s">
        <v>3780</v>
      </c>
      <c r="D4230" s="10" t="s">
        <v>4150</v>
      </c>
      <c r="E4230" s="10" t="str">
        <f>"644020240513171304176154"</f>
        <v>644020240513171304176154</v>
      </c>
      <c r="F4230" s="9"/>
    </row>
    <row r="4231" s="2" customFormat="1" ht="30" customHeight="1" spans="1:6">
      <c r="A4231" s="9">
        <v>4228</v>
      </c>
      <c r="B4231" s="10" t="s">
        <v>3779</v>
      </c>
      <c r="C4231" s="10" t="s">
        <v>3780</v>
      </c>
      <c r="D4231" s="10" t="s">
        <v>4151</v>
      </c>
      <c r="E4231" s="10" t="str">
        <f>"644020240514134754179049"</f>
        <v>644020240514134754179049</v>
      </c>
      <c r="F4231" s="9"/>
    </row>
    <row r="4232" s="2" customFormat="1" ht="30" customHeight="1" spans="1:6">
      <c r="A4232" s="9">
        <v>4229</v>
      </c>
      <c r="B4232" s="10" t="s">
        <v>3779</v>
      </c>
      <c r="C4232" s="10" t="s">
        <v>3780</v>
      </c>
      <c r="D4232" s="10" t="s">
        <v>4152</v>
      </c>
      <c r="E4232" s="10" t="str">
        <f>"644020240514122303178883"</f>
        <v>644020240514122303178883</v>
      </c>
      <c r="F4232" s="9"/>
    </row>
    <row r="4233" s="2" customFormat="1" ht="30" customHeight="1" spans="1:6">
      <c r="A4233" s="9">
        <v>4230</v>
      </c>
      <c r="B4233" s="10" t="s">
        <v>3779</v>
      </c>
      <c r="C4233" s="10" t="s">
        <v>3780</v>
      </c>
      <c r="D4233" s="10" t="s">
        <v>4153</v>
      </c>
      <c r="E4233" s="10" t="str">
        <f>"644020240513102808173397"</f>
        <v>644020240513102808173397</v>
      </c>
      <c r="F4233" s="9"/>
    </row>
    <row r="4234" s="2" customFormat="1" ht="30" customHeight="1" spans="1:6">
      <c r="A4234" s="9">
        <v>4231</v>
      </c>
      <c r="B4234" s="10" t="s">
        <v>3779</v>
      </c>
      <c r="C4234" s="10" t="s">
        <v>3780</v>
      </c>
      <c r="D4234" s="10" t="s">
        <v>4154</v>
      </c>
      <c r="E4234" s="10" t="str">
        <f>"644020240514145336179187"</f>
        <v>644020240514145336179187</v>
      </c>
      <c r="F4234" s="9"/>
    </row>
    <row r="4235" s="2" customFormat="1" ht="30" customHeight="1" spans="1:6">
      <c r="A4235" s="9">
        <v>4232</v>
      </c>
      <c r="B4235" s="10" t="s">
        <v>3779</v>
      </c>
      <c r="C4235" s="10" t="s">
        <v>3780</v>
      </c>
      <c r="D4235" s="10" t="s">
        <v>4155</v>
      </c>
      <c r="E4235" s="10" t="str">
        <f>"644020240514101654178355"</f>
        <v>644020240514101654178355</v>
      </c>
      <c r="F4235" s="9"/>
    </row>
    <row r="4236" s="2" customFormat="1" ht="30" customHeight="1" spans="1:6">
      <c r="A4236" s="9">
        <v>4233</v>
      </c>
      <c r="B4236" s="10" t="s">
        <v>3779</v>
      </c>
      <c r="C4236" s="10" t="s">
        <v>3780</v>
      </c>
      <c r="D4236" s="10" t="s">
        <v>4156</v>
      </c>
      <c r="E4236" s="10" t="str">
        <f>"644020240514150501179221"</f>
        <v>644020240514150501179221</v>
      </c>
      <c r="F4236" s="9"/>
    </row>
    <row r="4237" s="2" customFormat="1" ht="30" customHeight="1" spans="1:6">
      <c r="A4237" s="9">
        <v>4234</v>
      </c>
      <c r="B4237" s="10" t="s">
        <v>3779</v>
      </c>
      <c r="C4237" s="10" t="s">
        <v>3780</v>
      </c>
      <c r="D4237" s="10" t="s">
        <v>4157</v>
      </c>
      <c r="E4237" s="10" t="str">
        <f>"644020240514144842179170"</f>
        <v>644020240514144842179170</v>
      </c>
      <c r="F4237" s="9"/>
    </row>
    <row r="4238" s="2" customFormat="1" ht="30" customHeight="1" spans="1:6">
      <c r="A4238" s="9">
        <v>4235</v>
      </c>
      <c r="B4238" s="10" t="s">
        <v>3779</v>
      </c>
      <c r="C4238" s="10" t="s">
        <v>3780</v>
      </c>
      <c r="D4238" s="10" t="s">
        <v>4158</v>
      </c>
      <c r="E4238" s="10" t="str">
        <f>"644020240513131407174591"</f>
        <v>644020240513131407174591</v>
      </c>
      <c r="F4238" s="9"/>
    </row>
    <row r="4239" s="2" customFormat="1" ht="30" customHeight="1" spans="1:6">
      <c r="A4239" s="9">
        <v>4236</v>
      </c>
      <c r="B4239" s="10" t="s">
        <v>3779</v>
      </c>
      <c r="C4239" s="10" t="s">
        <v>3780</v>
      </c>
      <c r="D4239" s="10" t="s">
        <v>4159</v>
      </c>
      <c r="E4239" s="10" t="str">
        <f>"644020240513210044176960"</f>
        <v>644020240513210044176960</v>
      </c>
      <c r="F4239" s="9"/>
    </row>
    <row r="4240" s="2" customFormat="1" ht="30" customHeight="1" spans="1:6">
      <c r="A4240" s="9">
        <v>4237</v>
      </c>
      <c r="B4240" s="10" t="s">
        <v>3779</v>
      </c>
      <c r="C4240" s="10" t="s">
        <v>3780</v>
      </c>
      <c r="D4240" s="10" t="s">
        <v>4160</v>
      </c>
      <c r="E4240" s="10" t="str">
        <f>"644020240513191222176555"</f>
        <v>644020240513191222176555</v>
      </c>
      <c r="F4240" s="9"/>
    </row>
    <row r="4241" s="2" customFormat="1" ht="30" customHeight="1" spans="1:6">
      <c r="A4241" s="9">
        <v>4238</v>
      </c>
      <c r="B4241" s="10" t="s">
        <v>3779</v>
      </c>
      <c r="C4241" s="10" t="s">
        <v>3780</v>
      </c>
      <c r="D4241" s="10" t="s">
        <v>4161</v>
      </c>
      <c r="E4241" s="10" t="str">
        <f>"644020240514081917177838"</f>
        <v>644020240514081917177838</v>
      </c>
      <c r="F4241" s="9"/>
    </row>
    <row r="4242" s="2" customFormat="1" ht="30" customHeight="1" spans="1:6">
      <c r="A4242" s="9">
        <v>4239</v>
      </c>
      <c r="B4242" s="10" t="s">
        <v>3779</v>
      </c>
      <c r="C4242" s="10" t="s">
        <v>3780</v>
      </c>
      <c r="D4242" s="10" t="s">
        <v>4162</v>
      </c>
      <c r="E4242" s="10" t="str">
        <f>"644020240514153326179315"</f>
        <v>644020240514153326179315</v>
      </c>
      <c r="F4242" s="9"/>
    </row>
    <row r="4243" s="2" customFormat="1" ht="30" customHeight="1" spans="1:6">
      <c r="A4243" s="9">
        <v>4240</v>
      </c>
      <c r="B4243" s="10" t="s">
        <v>3779</v>
      </c>
      <c r="C4243" s="10" t="s">
        <v>3780</v>
      </c>
      <c r="D4243" s="10" t="s">
        <v>4163</v>
      </c>
      <c r="E4243" s="10" t="str">
        <f>"644020240514154223179345"</f>
        <v>644020240514154223179345</v>
      </c>
      <c r="F4243" s="9"/>
    </row>
    <row r="4244" s="2" customFormat="1" ht="30" customHeight="1" spans="1:6">
      <c r="A4244" s="9">
        <v>4241</v>
      </c>
      <c r="B4244" s="10" t="s">
        <v>3779</v>
      </c>
      <c r="C4244" s="10" t="s">
        <v>3780</v>
      </c>
      <c r="D4244" s="10" t="s">
        <v>4164</v>
      </c>
      <c r="E4244" s="10" t="str">
        <f>"644020240514124555178930"</f>
        <v>644020240514124555178930</v>
      </c>
      <c r="F4244" s="9"/>
    </row>
    <row r="4245" s="2" customFormat="1" ht="30" customHeight="1" spans="1:6">
      <c r="A4245" s="9">
        <v>4242</v>
      </c>
      <c r="B4245" s="10" t="s">
        <v>3779</v>
      </c>
      <c r="C4245" s="10" t="s">
        <v>3780</v>
      </c>
      <c r="D4245" s="10" t="s">
        <v>4165</v>
      </c>
      <c r="E4245" s="10" t="str">
        <f>"644020240514141606179106"</f>
        <v>644020240514141606179106</v>
      </c>
      <c r="F4245" s="9"/>
    </row>
    <row r="4246" s="2" customFormat="1" ht="30" customHeight="1" spans="1:6">
      <c r="A4246" s="9">
        <v>4243</v>
      </c>
      <c r="B4246" s="10" t="s">
        <v>3779</v>
      </c>
      <c r="C4246" s="10" t="s">
        <v>3780</v>
      </c>
      <c r="D4246" s="10" t="s">
        <v>4166</v>
      </c>
      <c r="E4246" s="10" t="str">
        <f>"644020240514105632178585"</f>
        <v>644020240514105632178585</v>
      </c>
      <c r="F4246" s="9"/>
    </row>
    <row r="4247" s="2" customFormat="1" ht="30" customHeight="1" spans="1:6">
      <c r="A4247" s="9">
        <v>4244</v>
      </c>
      <c r="B4247" s="10" t="s">
        <v>3779</v>
      </c>
      <c r="C4247" s="10" t="s">
        <v>3780</v>
      </c>
      <c r="D4247" s="10" t="s">
        <v>4167</v>
      </c>
      <c r="E4247" s="10" t="str">
        <f>"644020240513090905172584"</f>
        <v>644020240513090905172584</v>
      </c>
      <c r="F4247" s="9"/>
    </row>
    <row r="4248" s="2" customFormat="1" ht="30" customHeight="1" spans="1:6">
      <c r="A4248" s="9">
        <v>4245</v>
      </c>
      <c r="B4248" s="10" t="s">
        <v>3779</v>
      </c>
      <c r="C4248" s="10" t="s">
        <v>3780</v>
      </c>
      <c r="D4248" s="10" t="s">
        <v>4168</v>
      </c>
      <c r="E4248" s="10" t="str">
        <f>"644020240514153453179320"</f>
        <v>644020240514153453179320</v>
      </c>
      <c r="F4248" s="9"/>
    </row>
    <row r="4249" s="2" customFormat="1" ht="30" customHeight="1" spans="1:6">
      <c r="A4249" s="9">
        <v>4246</v>
      </c>
      <c r="B4249" s="10" t="s">
        <v>3779</v>
      </c>
      <c r="C4249" s="10" t="s">
        <v>3780</v>
      </c>
      <c r="D4249" s="10" t="s">
        <v>4169</v>
      </c>
      <c r="E4249" s="10" t="str">
        <f>"644020240514151008179238"</f>
        <v>644020240514151008179238</v>
      </c>
      <c r="F4249" s="9"/>
    </row>
    <row r="4250" s="2" customFormat="1" ht="30" customHeight="1" spans="1:6">
      <c r="A4250" s="9">
        <v>4247</v>
      </c>
      <c r="B4250" s="10" t="s">
        <v>3779</v>
      </c>
      <c r="C4250" s="10" t="s">
        <v>3780</v>
      </c>
      <c r="D4250" s="10" t="s">
        <v>4170</v>
      </c>
      <c r="E4250" s="10" t="str">
        <f>"644020240514160711179418"</f>
        <v>644020240514160711179418</v>
      </c>
      <c r="F4250" s="9"/>
    </row>
    <row r="4251" s="2" customFormat="1" ht="30" customHeight="1" spans="1:6">
      <c r="A4251" s="9">
        <v>4248</v>
      </c>
      <c r="B4251" s="10" t="s">
        <v>3779</v>
      </c>
      <c r="C4251" s="10" t="s">
        <v>3780</v>
      </c>
      <c r="D4251" s="10" t="s">
        <v>4171</v>
      </c>
      <c r="E4251" s="10" t="str">
        <f>"644020240514105622178584"</f>
        <v>644020240514105622178584</v>
      </c>
      <c r="F4251" s="9"/>
    </row>
    <row r="4252" s="2" customFormat="1" ht="30" customHeight="1" spans="1:6">
      <c r="A4252" s="9">
        <v>4249</v>
      </c>
      <c r="B4252" s="10" t="s">
        <v>3779</v>
      </c>
      <c r="C4252" s="10" t="s">
        <v>3780</v>
      </c>
      <c r="D4252" s="10" t="s">
        <v>4172</v>
      </c>
      <c r="E4252" s="10" t="str">
        <f>"644020240514101137178315"</f>
        <v>644020240514101137178315</v>
      </c>
      <c r="F4252" s="9"/>
    </row>
    <row r="4253" s="2" customFormat="1" ht="30" customHeight="1" spans="1:6">
      <c r="A4253" s="9">
        <v>4250</v>
      </c>
      <c r="B4253" s="10" t="s">
        <v>3779</v>
      </c>
      <c r="C4253" s="10" t="s">
        <v>3780</v>
      </c>
      <c r="D4253" s="10" t="s">
        <v>4173</v>
      </c>
      <c r="E4253" s="10" t="str">
        <f>"644020240514161112179432"</f>
        <v>644020240514161112179432</v>
      </c>
      <c r="F4253" s="9"/>
    </row>
    <row r="4254" s="2" customFormat="1" ht="30" customHeight="1" spans="1:6">
      <c r="A4254" s="9">
        <v>4251</v>
      </c>
      <c r="B4254" s="10" t="s">
        <v>3779</v>
      </c>
      <c r="C4254" s="10" t="s">
        <v>3780</v>
      </c>
      <c r="D4254" s="10" t="s">
        <v>4174</v>
      </c>
      <c r="E4254" s="10" t="str">
        <f>"644020240514145014179176"</f>
        <v>644020240514145014179176</v>
      </c>
      <c r="F4254" s="9"/>
    </row>
    <row r="4255" s="2" customFormat="1" ht="30" customHeight="1" spans="1:6">
      <c r="A4255" s="9">
        <v>4252</v>
      </c>
      <c r="B4255" s="10" t="s">
        <v>3779</v>
      </c>
      <c r="C4255" s="10" t="s">
        <v>3780</v>
      </c>
      <c r="D4255" s="10" t="s">
        <v>4175</v>
      </c>
      <c r="E4255" s="10" t="str">
        <f>"644020240514154600179353"</f>
        <v>644020240514154600179353</v>
      </c>
      <c r="F4255" s="9"/>
    </row>
    <row r="4256" s="2" customFormat="1" ht="30" customHeight="1" spans="1:6">
      <c r="A4256" s="9">
        <v>4253</v>
      </c>
      <c r="B4256" s="10" t="s">
        <v>3779</v>
      </c>
      <c r="C4256" s="10" t="s">
        <v>3780</v>
      </c>
      <c r="D4256" s="10" t="s">
        <v>4176</v>
      </c>
      <c r="E4256" s="10" t="str">
        <f>"644020240514143143179131"</f>
        <v>644020240514143143179131</v>
      </c>
      <c r="F4256" s="9"/>
    </row>
    <row r="4257" s="2" customFormat="1" ht="30" customHeight="1" spans="1:6">
      <c r="A4257" s="9">
        <v>4254</v>
      </c>
      <c r="B4257" s="10" t="s">
        <v>3779</v>
      </c>
      <c r="C4257" s="10" t="s">
        <v>3780</v>
      </c>
      <c r="D4257" s="10" t="s">
        <v>2315</v>
      </c>
      <c r="E4257" s="10" t="str">
        <f>"644020240513164834176041"</f>
        <v>644020240513164834176041</v>
      </c>
      <c r="F4257" s="9"/>
    </row>
    <row r="4258" s="2" customFormat="1" ht="30" customHeight="1" spans="1:6">
      <c r="A4258" s="9">
        <v>4255</v>
      </c>
      <c r="B4258" s="10" t="s">
        <v>3779</v>
      </c>
      <c r="C4258" s="10" t="s">
        <v>3780</v>
      </c>
      <c r="D4258" s="10" t="s">
        <v>4177</v>
      </c>
      <c r="E4258" s="10" t="str">
        <f>"644020240512205352170958"</f>
        <v>644020240512205352170958</v>
      </c>
      <c r="F4258" s="9"/>
    </row>
    <row r="4259" s="2" customFormat="1" ht="30" customHeight="1" spans="1:6">
      <c r="A4259" s="9">
        <v>4256</v>
      </c>
      <c r="B4259" s="10" t="s">
        <v>3779</v>
      </c>
      <c r="C4259" s="10" t="s">
        <v>3780</v>
      </c>
      <c r="D4259" s="10" t="s">
        <v>4178</v>
      </c>
      <c r="E4259" s="10" t="str">
        <f>"644020240514113406178743"</f>
        <v>644020240514113406178743</v>
      </c>
      <c r="F4259" s="9"/>
    </row>
    <row r="4260" s="2" customFormat="1" ht="30" customHeight="1" spans="1:6">
      <c r="A4260" s="9">
        <v>4257</v>
      </c>
      <c r="B4260" s="10" t="s">
        <v>3779</v>
      </c>
      <c r="C4260" s="10" t="s">
        <v>3780</v>
      </c>
      <c r="D4260" s="10" t="s">
        <v>4179</v>
      </c>
      <c r="E4260" s="10" t="str">
        <f>"644020240514142953179129"</f>
        <v>644020240514142953179129</v>
      </c>
      <c r="F4260" s="9"/>
    </row>
    <row r="4261" s="2" customFormat="1" ht="30" customHeight="1" spans="1:6">
      <c r="A4261" s="9">
        <v>4258</v>
      </c>
      <c r="B4261" s="10" t="s">
        <v>3779</v>
      </c>
      <c r="C4261" s="10" t="s">
        <v>3780</v>
      </c>
      <c r="D4261" s="10" t="s">
        <v>4180</v>
      </c>
      <c r="E4261" s="10" t="str">
        <f>"644020240514162930179499"</f>
        <v>644020240514162930179499</v>
      </c>
      <c r="F4261" s="9"/>
    </row>
    <row r="4262" s="2" customFormat="1" ht="30" customHeight="1" spans="1:6">
      <c r="A4262" s="9">
        <v>4259</v>
      </c>
      <c r="B4262" s="10" t="s">
        <v>3779</v>
      </c>
      <c r="C4262" s="10" t="s">
        <v>3780</v>
      </c>
      <c r="D4262" s="10" t="s">
        <v>4181</v>
      </c>
      <c r="E4262" s="10" t="str">
        <f>"644020240514163659179521"</f>
        <v>644020240514163659179521</v>
      </c>
      <c r="F4262" s="9"/>
    </row>
    <row r="4263" s="2" customFormat="1" ht="30" customHeight="1" spans="1:6">
      <c r="A4263" s="9">
        <v>4260</v>
      </c>
      <c r="B4263" s="10" t="s">
        <v>3779</v>
      </c>
      <c r="C4263" s="10" t="s">
        <v>3780</v>
      </c>
      <c r="D4263" s="10" t="s">
        <v>4182</v>
      </c>
      <c r="E4263" s="10" t="str">
        <f>"644020240514161449179446"</f>
        <v>644020240514161449179446</v>
      </c>
      <c r="F4263" s="9"/>
    </row>
    <row r="4264" s="2" customFormat="1" ht="30" customHeight="1" spans="1:6">
      <c r="A4264" s="9">
        <v>4261</v>
      </c>
      <c r="B4264" s="10" t="s">
        <v>3779</v>
      </c>
      <c r="C4264" s="10" t="s">
        <v>3780</v>
      </c>
      <c r="D4264" s="10" t="s">
        <v>4183</v>
      </c>
      <c r="E4264" s="10" t="str">
        <f>"644020240513190735176536"</f>
        <v>644020240513190735176536</v>
      </c>
      <c r="F4264" s="9"/>
    </row>
    <row r="4265" s="2" customFormat="1" ht="30" customHeight="1" spans="1:6">
      <c r="A4265" s="9">
        <v>4262</v>
      </c>
      <c r="B4265" s="10" t="s">
        <v>3779</v>
      </c>
      <c r="C4265" s="10" t="s">
        <v>3780</v>
      </c>
      <c r="D4265" s="10" t="s">
        <v>4184</v>
      </c>
      <c r="E4265" s="10" t="str">
        <f>"644020240514164753179560"</f>
        <v>644020240514164753179560</v>
      </c>
      <c r="F4265" s="9"/>
    </row>
    <row r="4266" s="2" customFormat="1" ht="30" customHeight="1" spans="1:6">
      <c r="A4266" s="9">
        <v>4263</v>
      </c>
      <c r="B4266" s="10" t="s">
        <v>3779</v>
      </c>
      <c r="C4266" s="10" t="s">
        <v>3780</v>
      </c>
      <c r="D4266" s="10" t="s">
        <v>4185</v>
      </c>
      <c r="E4266" s="10" t="str">
        <f>"644020240514150329179216"</f>
        <v>644020240514150329179216</v>
      </c>
      <c r="F4266" s="9"/>
    </row>
    <row r="4267" s="2" customFormat="1" ht="30" customHeight="1" spans="1:6">
      <c r="A4267" s="9">
        <v>4264</v>
      </c>
      <c r="B4267" s="10" t="s">
        <v>3779</v>
      </c>
      <c r="C4267" s="10" t="s">
        <v>3780</v>
      </c>
      <c r="D4267" s="10" t="s">
        <v>4186</v>
      </c>
      <c r="E4267" s="10" t="str">
        <f>"644020240514152911179294"</f>
        <v>644020240514152911179294</v>
      </c>
      <c r="F4267" s="9"/>
    </row>
    <row r="4268" s="2" customFormat="1" ht="30" customHeight="1" spans="1:6">
      <c r="A4268" s="9">
        <v>4265</v>
      </c>
      <c r="B4268" s="10" t="s">
        <v>3779</v>
      </c>
      <c r="C4268" s="10" t="s">
        <v>3780</v>
      </c>
      <c r="D4268" s="10" t="s">
        <v>4187</v>
      </c>
      <c r="E4268" s="10" t="str">
        <f>"644020240513034428172079"</f>
        <v>644020240513034428172079</v>
      </c>
      <c r="F4268" s="9"/>
    </row>
    <row r="4269" s="2" customFormat="1" ht="30" customHeight="1" spans="1:6">
      <c r="A4269" s="9">
        <v>4266</v>
      </c>
      <c r="B4269" s="10" t="s">
        <v>3779</v>
      </c>
      <c r="C4269" s="10" t="s">
        <v>3780</v>
      </c>
      <c r="D4269" s="10" t="s">
        <v>4188</v>
      </c>
      <c r="E4269" s="10" t="str">
        <f>"644020240514170358179622"</f>
        <v>644020240514170358179622</v>
      </c>
      <c r="F4269" s="9"/>
    </row>
    <row r="4270" s="2" customFormat="1" ht="30" customHeight="1" spans="1:6">
      <c r="A4270" s="9">
        <v>4267</v>
      </c>
      <c r="B4270" s="10" t="s">
        <v>3779</v>
      </c>
      <c r="C4270" s="10" t="s">
        <v>3780</v>
      </c>
      <c r="D4270" s="10" t="s">
        <v>4189</v>
      </c>
      <c r="E4270" s="10" t="str">
        <f>"644020240514165743179603"</f>
        <v>644020240514165743179603</v>
      </c>
      <c r="F4270" s="9"/>
    </row>
    <row r="4271" s="2" customFormat="1" ht="30" customHeight="1" spans="1:6">
      <c r="A4271" s="9">
        <v>4268</v>
      </c>
      <c r="B4271" s="10" t="s">
        <v>3779</v>
      </c>
      <c r="C4271" s="10" t="s">
        <v>3780</v>
      </c>
      <c r="D4271" s="10" t="s">
        <v>4190</v>
      </c>
      <c r="E4271" s="10" t="str">
        <f>"644020240514170312179618"</f>
        <v>644020240514170312179618</v>
      </c>
      <c r="F4271" s="9"/>
    </row>
    <row r="4272" s="2" customFormat="1" ht="30" customHeight="1" spans="1:6">
      <c r="A4272" s="9">
        <v>4269</v>
      </c>
      <c r="B4272" s="10" t="s">
        <v>3779</v>
      </c>
      <c r="C4272" s="10" t="s">
        <v>3780</v>
      </c>
      <c r="D4272" s="10" t="s">
        <v>4191</v>
      </c>
      <c r="E4272" s="10" t="str">
        <f>"644020240514155115179370"</f>
        <v>644020240514155115179370</v>
      </c>
      <c r="F4272" s="9"/>
    </row>
    <row r="4273" s="2" customFormat="1" ht="30" customHeight="1" spans="1:6">
      <c r="A4273" s="9">
        <v>4270</v>
      </c>
      <c r="B4273" s="10" t="s">
        <v>3779</v>
      </c>
      <c r="C4273" s="10" t="s">
        <v>3780</v>
      </c>
      <c r="D4273" s="10" t="s">
        <v>4192</v>
      </c>
      <c r="E4273" s="10" t="str">
        <f>"644020240514170809179635"</f>
        <v>644020240514170809179635</v>
      </c>
      <c r="F4273" s="9"/>
    </row>
    <row r="4274" s="2" customFormat="1" ht="30" customHeight="1" spans="1:6">
      <c r="A4274" s="9">
        <v>4271</v>
      </c>
      <c r="B4274" s="10" t="s">
        <v>3779</v>
      </c>
      <c r="C4274" s="10" t="s">
        <v>3780</v>
      </c>
      <c r="D4274" s="10" t="s">
        <v>4193</v>
      </c>
      <c r="E4274" s="10" t="str">
        <f>"644020240514171140179650"</f>
        <v>644020240514171140179650</v>
      </c>
      <c r="F4274" s="9"/>
    </row>
    <row r="4275" s="2" customFormat="1" ht="30" customHeight="1" spans="1:6">
      <c r="A4275" s="9">
        <v>4272</v>
      </c>
      <c r="B4275" s="10" t="s">
        <v>3779</v>
      </c>
      <c r="C4275" s="10" t="s">
        <v>3780</v>
      </c>
      <c r="D4275" s="10" t="s">
        <v>4194</v>
      </c>
      <c r="E4275" s="10" t="str">
        <f>"644020240512120401169027"</f>
        <v>644020240512120401169027</v>
      </c>
      <c r="F4275" s="9"/>
    </row>
    <row r="4276" s="2" customFormat="1" ht="30" customHeight="1" spans="1:6">
      <c r="A4276" s="9">
        <v>4273</v>
      </c>
      <c r="B4276" s="10" t="s">
        <v>3779</v>
      </c>
      <c r="C4276" s="10" t="s">
        <v>3780</v>
      </c>
      <c r="D4276" s="10" t="s">
        <v>4195</v>
      </c>
      <c r="E4276" s="10" t="str">
        <f>"644020240514100539178297"</f>
        <v>644020240514100539178297</v>
      </c>
      <c r="F4276" s="9"/>
    </row>
    <row r="4277" s="2" customFormat="1" ht="30" customHeight="1" spans="1:6">
      <c r="A4277" s="9">
        <v>4274</v>
      </c>
      <c r="B4277" s="10" t="s">
        <v>3779</v>
      </c>
      <c r="C4277" s="10" t="s">
        <v>3780</v>
      </c>
      <c r="D4277" s="10" t="s">
        <v>4196</v>
      </c>
      <c r="E4277" s="10" t="str">
        <f>"644020240513083247172309"</f>
        <v>644020240513083247172309</v>
      </c>
      <c r="F4277" s="9"/>
    </row>
    <row r="4278" s="2" customFormat="1" ht="30" customHeight="1" spans="1:6">
      <c r="A4278" s="9">
        <v>4275</v>
      </c>
      <c r="B4278" s="10" t="s">
        <v>3779</v>
      </c>
      <c r="C4278" s="10" t="s">
        <v>3780</v>
      </c>
      <c r="D4278" s="10" t="s">
        <v>4197</v>
      </c>
      <c r="E4278" s="10" t="str">
        <f>"644020240514173542179723"</f>
        <v>644020240514173542179723</v>
      </c>
      <c r="F4278" s="9"/>
    </row>
    <row r="4279" s="2" customFormat="1" ht="30" customHeight="1" spans="1:6">
      <c r="A4279" s="9">
        <v>4276</v>
      </c>
      <c r="B4279" s="10" t="s">
        <v>3779</v>
      </c>
      <c r="C4279" s="10" t="s">
        <v>3780</v>
      </c>
      <c r="D4279" s="10" t="s">
        <v>4198</v>
      </c>
      <c r="E4279" s="10" t="str">
        <f>"644020240514174756179749"</f>
        <v>644020240514174756179749</v>
      </c>
      <c r="F4279" s="9"/>
    </row>
    <row r="4280" s="2" customFormat="1" ht="30" customHeight="1" spans="1:6">
      <c r="A4280" s="9">
        <v>4277</v>
      </c>
      <c r="B4280" s="10" t="s">
        <v>3779</v>
      </c>
      <c r="C4280" s="10" t="s">
        <v>3780</v>
      </c>
      <c r="D4280" s="10" t="s">
        <v>4199</v>
      </c>
      <c r="E4280" s="10" t="str">
        <f>"644020240512124139169174"</f>
        <v>644020240512124139169174</v>
      </c>
      <c r="F4280" s="9"/>
    </row>
    <row r="4281" s="2" customFormat="1" ht="30" customHeight="1" spans="1:6">
      <c r="A4281" s="9">
        <v>4278</v>
      </c>
      <c r="B4281" s="10" t="s">
        <v>3779</v>
      </c>
      <c r="C4281" s="10" t="s">
        <v>3780</v>
      </c>
      <c r="D4281" s="10" t="s">
        <v>4200</v>
      </c>
      <c r="E4281" s="10" t="str">
        <f>"644020240514180613179789"</f>
        <v>644020240514180613179789</v>
      </c>
      <c r="F4281" s="9"/>
    </row>
    <row r="4282" s="2" customFormat="1" ht="30" customHeight="1" spans="1:6">
      <c r="A4282" s="9">
        <v>4279</v>
      </c>
      <c r="B4282" s="10" t="s">
        <v>3779</v>
      </c>
      <c r="C4282" s="10" t="s">
        <v>3780</v>
      </c>
      <c r="D4282" s="10" t="s">
        <v>4201</v>
      </c>
      <c r="E4282" s="10" t="str">
        <f>"644020240514181959179813"</f>
        <v>644020240514181959179813</v>
      </c>
      <c r="F4282" s="9"/>
    </row>
    <row r="4283" s="2" customFormat="1" ht="30" customHeight="1" spans="1:6">
      <c r="A4283" s="9">
        <v>4280</v>
      </c>
      <c r="B4283" s="10" t="s">
        <v>3779</v>
      </c>
      <c r="C4283" s="10" t="s">
        <v>3780</v>
      </c>
      <c r="D4283" s="10" t="s">
        <v>4202</v>
      </c>
      <c r="E4283" s="10" t="str">
        <f>"644020240514183759179842"</f>
        <v>644020240514183759179842</v>
      </c>
      <c r="F4283" s="9"/>
    </row>
    <row r="4284" s="2" customFormat="1" ht="30" customHeight="1" spans="1:6">
      <c r="A4284" s="9">
        <v>4281</v>
      </c>
      <c r="B4284" s="10" t="s">
        <v>3779</v>
      </c>
      <c r="C4284" s="10" t="s">
        <v>3780</v>
      </c>
      <c r="D4284" s="10" t="s">
        <v>4203</v>
      </c>
      <c r="E4284" s="10" t="str">
        <f>"644020240514123356178902"</f>
        <v>644020240514123356178902</v>
      </c>
      <c r="F4284" s="9"/>
    </row>
    <row r="4285" s="2" customFormat="1" ht="30" customHeight="1" spans="1:6">
      <c r="A4285" s="9">
        <v>4282</v>
      </c>
      <c r="B4285" s="10" t="s">
        <v>3779</v>
      </c>
      <c r="C4285" s="10" t="s">
        <v>3780</v>
      </c>
      <c r="D4285" s="10" t="s">
        <v>4204</v>
      </c>
      <c r="E4285" s="10" t="str">
        <f>"644020240512140540169469"</f>
        <v>644020240512140540169469</v>
      </c>
      <c r="F4285" s="9"/>
    </row>
    <row r="4286" s="2" customFormat="1" ht="30" customHeight="1" spans="1:6">
      <c r="A4286" s="9">
        <v>4283</v>
      </c>
      <c r="B4286" s="10" t="s">
        <v>3779</v>
      </c>
      <c r="C4286" s="10" t="s">
        <v>3780</v>
      </c>
      <c r="D4286" s="10" t="s">
        <v>4205</v>
      </c>
      <c r="E4286" s="10" t="str">
        <f>"644020240514184308179853"</f>
        <v>644020240514184308179853</v>
      </c>
      <c r="F4286" s="9"/>
    </row>
    <row r="4287" s="2" customFormat="1" ht="30" customHeight="1" spans="1:6">
      <c r="A4287" s="9">
        <v>4284</v>
      </c>
      <c r="B4287" s="10" t="s">
        <v>3779</v>
      </c>
      <c r="C4287" s="10" t="s">
        <v>3780</v>
      </c>
      <c r="D4287" s="10" t="s">
        <v>4206</v>
      </c>
      <c r="E4287" s="10" t="str">
        <f>"644020240513181416176386"</f>
        <v>644020240513181416176386</v>
      </c>
      <c r="F4287" s="9"/>
    </row>
    <row r="4288" s="2" customFormat="1" ht="30" customHeight="1" spans="1:6">
      <c r="A4288" s="9">
        <v>4285</v>
      </c>
      <c r="B4288" s="10" t="s">
        <v>3779</v>
      </c>
      <c r="C4288" s="10" t="s">
        <v>3780</v>
      </c>
      <c r="D4288" s="10" t="s">
        <v>4207</v>
      </c>
      <c r="E4288" s="10" t="str">
        <f>"644020240514190135179892"</f>
        <v>644020240514190135179892</v>
      </c>
      <c r="F4288" s="9"/>
    </row>
    <row r="4289" s="2" customFormat="1" ht="30" customHeight="1" spans="1:6">
      <c r="A4289" s="9">
        <v>4286</v>
      </c>
      <c r="B4289" s="10" t="s">
        <v>3779</v>
      </c>
      <c r="C4289" s="10" t="s">
        <v>3780</v>
      </c>
      <c r="D4289" s="10" t="s">
        <v>3811</v>
      </c>
      <c r="E4289" s="10" t="str">
        <f>"644020240512214457171234"</f>
        <v>644020240512214457171234</v>
      </c>
      <c r="F4289" s="9"/>
    </row>
    <row r="4290" s="2" customFormat="1" ht="30" customHeight="1" spans="1:6">
      <c r="A4290" s="9">
        <v>4287</v>
      </c>
      <c r="B4290" s="10" t="s">
        <v>3779</v>
      </c>
      <c r="C4290" s="10" t="s">
        <v>3780</v>
      </c>
      <c r="D4290" s="10" t="s">
        <v>4208</v>
      </c>
      <c r="E4290" s="10" t="str">
        <f>"644020240514185923179887"</f>
        <v>644020240514185923179887</v>
      </c>
      <c r="F4290" s="9"/>
    </row>
    <row r="4291" s="2" customFormat="1" ht="30" customHeight="1" spans="1:6">
      <c r="A4291" s="9">
        <v>4288</v>
      </c>
      <c r="B4291" s="10" t="s">
        <v>3779</v>
      </c>
      <c r="C4291" s="10" t="s">
        <v>3780</v>
      </c>
      <c r="D4291" s="10" t="s">
        <v>4209</v>
      </c>
      <c r="E4291" s="10" t="str">
        <f>"644020240514135116179057"</f>
        <v>644020240514135116179057</v>
      </c>
      <c r="F4291" s="9"/>
    </row>
    <row r="4292" s="2" customFormat="1" ht="30" customHeight="1" spans="1:6">
      <c r="A4292" s="9">
        <v>4289</v>
      </c>
      <c r="B4292" s="10" t="s">
        <v>3779</v>
      </c>
      <c r="C4292" s="10" t="s">
        <v>3780</v>
      </c>
      <c r="D4292" s="10" t="s">
        <v>4210</v>
      </c>
      <c r="E4292" s="10" t="str">
        <f>"644020240513140406174812"</f>
        <v>644020240513140406174812</v>
      </c>
      <c r="F4292" s="9"/>
    </row>
    <row r="4293" s="2" customFormat="1" ht="30" customHeight="1" spans="1:6">
      <c r="A4293" s="9">
        <v>4290</v>
      </c>
      <c r="B4293" s="10" t="s">
        <v>3779</v>
      </c>
      <c r="C4293" s="10" t="s">
        <v>3780</v>
      </c>
      <c r="D4293" s="10" t="s">
        <v>4211</v>
      </c>
      <c r="E4293" s="10" t="str">
        <f>"644020240513195116176698"</f>
        <v>644020240513195116176698</v>
      </c>
      <c r="F4293" s="11"/>
    </row>
    <row r="4294" s="2" customFormat="1" ht="30" customHeight="1" spans="1:6">
      <c r="A4294" s="9">
        <v>4291</v>
      </c>
      <c r="B4294" s="10" t="s">
        <v>3779</v>
      </c>
      <c r="C4294" s="10" t="s">
        <v>3780</v>
      </c>
      <c r="D4294" s="10" t="s">
        <v>4212</v>
      </c>
      <c r="E4294" s="10" t="str">
        <f>"644020240514194216179953"</f>
        <v>644020240514194216179953</v>
      </c>
      <c r="F4294" s="9"/>
    </row>
    <row r="4295" s="2" customFormat="1" ht="30" customHeight="1" spans="1:6">
      <c r="A4295" s="9">
        <v>4292</v>
      </c>
      <c r="B4295" s="10" t="s">
        <v>3779</v>
      </c>
      <c r="C4295" s="10" t="s">
        <v>3780</v>
      </c>
      <c r="D4295" s="10" t="s">
        <v>4213</v>
      </c>
      <c r="E4295" s="10" t="str">
        <f>"644020240513130729174561"</f>
        <v>644020240513130729174561</v>
      </c>
      <c r="F4295" s="9"/>
    </row>
    <row r="4296" s="2" customFormat="1" ht="30" customHeight="1" spans="1:6">
      <c r="A4296" s="9">
        <v>4293</v>
      </c>
      <c r="B4296" s="10" t="s">
        <v>3779</v>
      </c>
      <c r="C4296" s="10" t="s">
        <v>3780</v>
      </c>
      <c r="D4296" s="10" t="s">
        <v>4214</v>
      </c>
      <c r="E4296" s="10" t="str">
        <f>"644020240514200117179962"</f>
        <v>644020240514200117179962</v>
      </c>
      <c r="F4296" s="9"/>
    </row>
    <row r="4297" s="2" customFormat="1" ht="30" customHeight="1" spans="1:6">
      <c r="A4297" s="9">
        <v>4294</v>
      </c>
      <c r="B4297" s="10" t="s">
        <v>3779</v>
      </c>
      <c r="C4297" s="10" t="s">
        <v>3780</v>
      </c>
      <c r="D4297" s="10" t="s">
        <v>4215</v>
      </c>
      <c r="E4297" s="10" t="str">
        <f>"644020240514153859179337"</f>
        <v>644020240514153859179337</v>
      </c>
      <c r="F4297" s="9"/>
    </row>
    <row r="4298" s="2" customFormat="1" ht="30" customHeight="1" spans="1:6">
      <c r="A4298" s="9">
        <v>4295</v>
      </c>
      <c r="B4298" s="10" t="s">
        <v>3779</v>
      </c>
      <c r="C4298" s="10" t="s">
        <v>3780</v>
      </c>
      <c r="D4298" s="10" t="s">
        <v>505</v>
      </c>
      <c r="E4298" s="10" t="str">
        <f>"644020240513215923177216"</f>
        <v>644020240513215923177216</v>
      </c>
      <c r="F4298" s="9"/>
    </row>
    <row r="4299" s="2" customFormat="1" ht="30" customHeight="1" spans="1:6">
      <c r="A4299" s="9">
        <v>4296</v>
      </c>
      <c r="B4299" s="10" t="s">
        <v>3779</v>
      </c>
      <c r="C4299" s="10" t="s">
        <v>3780</v>
      </c>
      <c r="D4299" s="10" t="s">
        <v>4216</v>
      </c>
      <c r="E4299" s="10" t="str">
        <f>"644020240514193707179942"</f>
        <v>644020240514193707179942</v>
      </c>
      <c r="F4299" s="9"/>
    </row>
    <row r="4300" s="2" customFormat="1" ht="30" customHeight="1" spans="1:6">
      <c r="A4300" s="9">
        <v>4297</v>
      </c>
      <c r="B4300" s="10" t="s">
        <v>3779</v>
      </c>
      <c r="C4300" s="10" t="s">
        <v>3780</v>
      </c>
      <c r="D4300" s="10" t="s">
        <v>4217</v>
      </c>
      <c r="E4300" s="10" t="str">
        <f>"644020240513185540176495"</f>
        <v>644020240513185540176495</v>
      </c>
      <c r="F4300" s="9"/>
    </row>
    <row r="4301" s="2" customFormat="1" ht="30" customHeight="1" spans="1:6">
      <c r="A4301" s="9">
        <v>4298</v>
      </c>
      <c r="B4301" s="10" t="s">
        <v>3779</v>
      </c>
      <c r="C4301" s="10" t="s">
        <v>3780</v>
      </c>
      <c r="D4301" s="10" t="s">
        <v>4218</v>
      </c>
      <c r="E4301" s="10" t="str">
        <f>"644020240514165616179594"</f>
        <v>644020240514165616179594</v>
      </c>
      <c r="F4301" s="9"/>
    </row>
    <row r="4302" s="2" customFormat="1" ht="30" customHeight="1" spans="1:6">
      <c r="A4302" s="9">
        <v>4299</v>
      </c>
      <c r="B4302" s="10" t="s">
        <v>3779</v>
      </c>
      <c r="C4302" s="10" t="s">
        <v>3780</v>
      </c>
      <c r="D4302" s="10" t="s">
        <v>4219</v>
      </c>
      <c r="E4302" s="10" t="str">
        <f>"644020240514202153180024"</f>
        <v>644020240514202153180024</v>
      </c>
      <c r="F4302" s="9"/>
    </row>
    <row r="4303" s="2" customFormat="1" ht="30" customHeight="1" spans="1:6">
      <c r="A4303" s="9">
        <v>4300</v>
      </c>
      <c r="B4303" s="10" t="s">
        <v>3779</v>
      </c>
      <c r="C4303" s="10" t="s">
        <v>3780</v>
      </c>
      <c r="D4303" s="10" t="s">
        <v>4220</v>
      </c>
      <c r="E4303" s="10" t="str">
        <f>"644020240513080646172205"</f>
        <v>644020240513080646172205</v>
      </c>
      <c r="F4303" s="9"/>
    </row>
    <row r="4304" s="2" customFormat="1" ht="30" customHeight="1" spans="1:6">
      <c r="A4304" s="9">
        <v>4301</v>
      </c>
      <c r="B4304" s="10" t="s">
        <v>3779</v>
      </c>
      <c r="C4304" s="10" t="s">
        <v>3780</v>
      </c>
      <c r="D4304" s="10" t="s">
        <v>4221</v>
      </c>
      <c r="E4304" s="10" t="str">
        <f>"644020240514200549179987"</f>
        <v>644020240514200549179987</v>
      </c>
      <c r="F4304" s="9"/>
    </row>
    <row r="4305" s="2" customFormat="1" ht="30" customHeight="1" spans="1:6">
      <c r="A4305" s="9">
        <v>4302</v>
      </c>
      <c r="B4305" s="10" t="s">
        <v>3779</v>
      </c>
      <c r="C4305" s="10" t="s">
        <v>3780</v>
      </c>
      <c r="D4305" s="10" t="s">
        <v>437</v>
      </c>
      <c r="E4305" s="10" t="str">
        <f>"644020240514205043180073"</f>
        <v>644020240514205043180073</v>
      </c>
      <c r="F4305" s="9"/>
    </row>
    <row r="4306" s="2" customFormat="1" ht="30" customHeight="1" spans="1:6">
      <c r="A4306" s="9">
        <v>4303</v>
      </c>
      <c r="B4306" s="10" t="s">
        <v>3779</v>
      </c>
      <c r="C4306" s="10" t="s">
        <v>3780</v>
      </c>
      <c r="D4306" s="10" t="s">
        <v>4222</v>
      </c>
      <c r="E4306" s="10" t="str">
        <f>"644020240514204133180045"</f>
        <v>644020240514204133180045</v>
      </c>
      <c r="F4306" s="9"/>
    </row>
    <row r="4307" s="2" customFormat="1" ht="30" customHeight="1" spans="1:6">
      <c r="A4307" s="9">
        <v>4304</v>
      </c>
      <c r="B4307" s="10" t="s">
        <v>3779</v>
      </c>
      <c r="C4307" s="10" t="s">
        <v>3780</v>
      </c>
      <c r="D4307" s="10" t="s">
        <v>4223</v>
      </c>
      <c r="E4307" s="10" t="str">
        <f>"644020240514201348180007"</f>
        <v>644020240514201348180007</v>
      </c>
      <c r="F4307" s="9"/>
    </row>
    <row r="4308" s="2" customFormat="1" ht="30" customHeight="1" spans="1:6">
      <c r="A4308" s="9">
        <v>4305</v>
      </c>
      <c r="B4308" s="10" t="s">
        <v>3779</v>
      </c>
      <c r="C4308" s="10" t="s">
        <v>3780</v>
      </c>
      <c r="D4308" s="10" t="s">
        <v>3040</v>
      </c>
      <c r="E4308" s="10" t="str">
        <f>"644020240514191715179920"</f>
        <v>644020240514191715179920</v>
      </c>
      <c r="F4308" s="9"/>
    </row>
    <row r="4309" s="2" customFormat="1" ht="30" customHeight="1" spans="1:6">
      <c r="A4309" s="9">
        <v>4306</v>
      </c>
      <c r="B4309" s="10" t="s">
        <v>3779</v>
      </c>
      <c r="C4309" s="10" t="s">
        <v>3780</v>
      </c>
      <c r="D4309" s="10" t="s">
        <v>4224</v>
      </c>
      <c r="E4309" s="10" t="str">
        <f>"644020240514200257179976"</f>
        <v>644020240514200257179976</v>
      </c>
      <c r="F4309" s="9"/>
    </row>
    <row r="4310" s="2" customFormat="1" ht="30" customHeight="1" spans="1:6">
      <c r="A4310" s="9">
        <v>4307</v>
      </c>
      <c r="B4310" s="10" t="s">
        <v>3779</v>
      </c>
      <c r="C4310" s="10" t="s">
        <v>3780</v>
      </c>
      <c r="D4310" s="10" t="s">
        <v>4225</v>
      </c>
      <c r="E4310" s="10" t="str">
        <f>"644020240514205345180091"</f>
        <v>644020240514205345180091</v>
      </c>
      <c r="F4310" s="9"/>
    </row>
    <row r="4311" s="2" customFormat="1" ht="30" customHeight="1" spans="1:6">
      <c r="A4311" s="9">
        <v>4308</v>
      </c>
      <c r="B4311" s="10" t="s">
        <v>3779</v>
      </c>
      <c r="C4311" s="10" t="s">
        <v>3780</v>
      </c>
      <c r="D4311" s="10" t="s">
        <v>4226</v>
      </c>
      <c r="E4311" s="10" t="str">
        <f>"644020240514205508180096"</f>
        <v>644020240514205508180096</v>
      </c>
      <c r="F4311" s="9"/>
    </row>
    <row r="4312" s="2" customFormat="1" ht="30" customHeight="1" spans="1:6">
      <c r="A4312" s="9">
        <v>4309</v>
      </c>
      <c r="B4312" s="10" t="s">
        <v>3779</v>
      </c>
      <c r="C4312" s="10" t="s">
        <v>3780</v>
      </c>
      <c r="D4312" s="10" t="s">
        <v>4227</v>
      </c>
      <c r="E4312" s="10" t="str">
        <f>"644020240514114925178796"</f>
        <v>644020240514114925178796</v>
      </c>
      <c r="F4312" s="9"/>
    </row>
    <row r="4313" s="2" customFormat="1" ht="30" customHeight="1" spans="1:6">
      <c r="A4313" s="9">
        <v>4310</v>
      </c>
      <c r="B4313" s="10" t="s">
        <v>3779</v>
      </c>
      <c r="C4313" s="10" t="s">
        <v>3780</v>
      </c>
      <c r="D4313" s="10" t="s">
        <v>4228</v>
      </c>
      <c r="E4313" s="10" t="str">
        <f>"644020240514145345179189"</f>
        <v>644020240514145345179189</v>
      </c>
      <c r="F4313" s="9"/>
    </row>
    <row r="4314" s="2" customFormat="1" ht="30" customHeight="1" spans="1:6">
      <c r="A4314" s="9">
        <v>4311</v>
      </c>
      <c r="B4314" s="10" t="s">
        <v>3779</v>
      </c>
      <c r="C4314" s="10" t="s">
        <v>3780</v>
      </c>
      <c r="D4314" s="10" t="s">
        <v>4229</v>
      </c>
      <c r="E4314" s="10" t="str">
        <f>"644020240514212228180180"</f>
        <v>644020240514212228180180</v>
      </c>
      <c r="F4314" s="9"/>
    </row>
    <row r="4315" s="2" customFormat="1" ht="30" customHeight="1" spans="1:6">
      <c r="A4315" s="9">
        <v>4312</v>
      </c>
      <c r="B4315" s="10" t="s">
        <v>3779</v>
      </c>
      <c r="C4315" s="10" t="s">
        <v>3780</v>
      </c>
      <c r="D4315" s="10" t="s">
        <v>4230</v>
      </c>
      <c r="E4315" s="10" t="str">
        <f>"644020240514210418180123"</f>
        <v>644020240514210418180123</v>
      </c>
      <c r="F4315" s="9"/>
    </row>
    <row r="4316" s="2" customFormat="1" ht="30" customHeight="1" spans="1:6">
      <c r="A4316" s="9">
        <v>4313</v>
      </c>
      <c r="B4316" s="10" t="s">
        <v>3779</v>
      </c>
      <c r="C4316" s="10" t="s">
        <v>3780</v>
      </c>
      <c r="D4316" s="10" t="s">
        <v>1059</v>
      </c>
      <c r="E4316" s="10" t="str">
        <f>"644020240514164211179542"</f>
        <v>644020240514164211179542</v>
      </c>
      <c r="F4316" s="9"/>
    </row>
    <row r="4317" s="2" customFormat="1" ht="30" customHeight="1" spans="1:6">
      <c r="A4317" s="9">
        <v>4314</v>
      </c>
      <c r="B4317" s="10" t="s">
        <v>3779</v>
      </c>
      <c r="C4317" s="10" t="s">
        <v>3780</v>
      </c>
      <c r="D4317" s="10" t="s">
        <v>4231</v>
      </c>
      <c r="E4317" s="10" t="str">
        <f>"644020240514214802180261"</f>
        <v>644020240514214802180261</v>
      </c>
      <c r="F4317" s="9"/>
    </row>
    <row r="4318" s="2" customFormat="1" ht="30" customHeight="1" spans="1:6">
      <c r="A4318" s="9">
        <v>4315</v>
      </c>
      <c r="B4318" s="10" t="s">
        <v>3779</v>
      </c>
      <c r="C4318" s="10" t="s">
        <v>3780</v>
      </c>
      <c r="D4318" s="10" t="s">
        <v>4232</v>
      </c>
      <c r="E4318" s="10" t="str">
        <f>"644020240514213834180224"</f>
        <v>644020240514213834180224</v>
      </c>
      <c r="F4318" s="9"/>
    </row>
    <row r="4319" s="2" customFormat="1" ht="30" customHeight="1" spans="1:6">
      <c r="A4319" s="9">
        <v>4316</v>
      </c>
      <c r="B4319" s="10" t="s">
        <v>3779</v>
      </c>
      <c r="C4319" s="10" t="s">
        <v>3780</v>
      </c>
      <c r="D4319" s="10" t="s">
        <v>4233</v>
      </c>
      <c r="E4319" s="10" t="str">
        <f>"644020240513210935176997"</f>
        <v>644020240513210935176997</v>
      </c>
      <c r="F4319" s="9"/>
    </row>
    <row r="4320" s="2" customFormat="1" ht="30" customHeight="1" spans="1:6">
      <c r="A4320" s="9">
        <v>4317</v>
      </c>
      <c r="B4320" s="10" t="s">
        <v>3779</v>
      </c>
      <c r="C4320" s="10" t="s">
        <v>3780</v>
      </c>
      <c r="D4320" s="10" t="s">
        <v>4234</v>
      </c>
      <c r="E4320" s="10" t="str">
        <f>"644020240514212318180182"</f>
        <v>644020240514212318180182</v>
      </c>
      <c r="F4320" s="9"/>
    </row>
    <row r="4321" s="2" customFormat="1" ht="30" customHeight="1" spans="1:6">
      <c r="A4321" s="9">
        <v>4318</v>
      </c>
      <c r="B4321" s="10" t="s">
        <v>3779</v>
      </c>
      <c r="C4321" s="10" t="s">
        <v>3780</v>
      </c>
      <c r="D4321" s="10" t="s">
        <v>4235</v>
      </c>
      <c r="E4321" s="10" t="str">
        <f>"644020240514214048180228"</f>
        <v>644020240514214048180228</v>
      </c>
      <c r="F4321" s="9"/>
    </row>
    <row r="4322" s="2" customFormat="1" ht="30" customHeight="1" spans="1:6">
      <c r="A4322" s="9">
        <v>4319</v>
      </c>
      <c r="B4322" s="10" t="s">
        <v>3779</v>
      </c>
      <c r="C4322" s="10" t="s">
        <v>3780</v>
      </c>
      <c r="D4322" s="10" t="s">
        <v>4236</v>
      </c>
      <c r="E4322" s="10" t="str">
        <f>"644020240514123756178911"</f>
        <v>644020240514123756178911</v>
      </c>
      <c r="F4322" s="9"/>
    </row>
    <row r="4323" s="2" customFormat="1" ht="30" customHeight="1" spans="1:6">
      <c r="A4323" s="9">
        <v>4320</v>
      </c>
      <c r="B4323" s="10" t="s">
        <v>3779</v>
      </c>
      <c r="C4323" s="10" t="s">
        <v>3780</v>
      </c>
      <c r="D4323" s="10" t="s">
        <v>4237</v>
      </c>
      <c r="E4323" s="10" t="str">
        <f>"644020240514105805178591"</f>
        <v>644020240514105805178591</v>
      </c>
      <c r="F4323" s="9"/>
    </row>
    <row r="4324" s="2" customFormat="1" ht="30" customHeight="1" spans="1:6">
      <c r="A4324" s="9">
        <v>4321</v>
      </c>
      <c r="B4324" s="10" t="s">
        <v>3779</v>
      </c>
      <c r="C4324" s="10" t="s">
        <v>3780</v>
      </c>
      <c r="D4324" s="10" t="s">
        <v>4238</v>
      </c>
      <c r="E4324" s="10" t="str">
        <f>"644020240513100331173139"</f>
        <v>644020240513100331173139</v>
      </c>
      <c r="F4324" s="9"/>
    </row>
    <row r="4325" s="2" customFormat="1" ht="30" customHeight="1" spans="1:6">
      <c r="A4325" s="9">
        <v>4322</v>
      </c>
      <c r="B4325" s="10" t="s">
        <v>3779</v>
      </c>
      <c r="C4325" s="10" t="s">
        <v>3780</v>
      </c>
      <c r="D4325" s="10" t="s">
        <v>4239</v>
      </c>
      <c r="E4325" s="10" t="str">
        <f>"644020240514200608179991"</f>
        <v>644020240514200608179991</v>
      </c>
      <c r="F4325" s="9"/>
    </row>
    <row r="4326" s="2" customFormat="1" ht="30" customHeight="1" spans="1:6">
      <c r="A4326" s="9">
        <v>4323</v>
      </c>
      <c r="B4326" s="10" t="s">
        <v>3779</v>
      </c>
      <c r="C4326" s="10" t="s">
        <v>3780</v>
      </c>
      <c r="D4326" s="10" t="s">
        <v>4240</v>
      </c>
      <c r="E4326" s="10" t="str">
        <f>"644020240514215101180269"</f>
        <v>644020240514215101180269</v>
      </c>
      <c r="F4326" s="9"/>
    </row>
    <row r="4327" s="2" customFormat="1" ht="30" customHeight="1" spans="1:6">
      <c r="A4327" s="9">
        <v>4324</v>
      </c>
      <c r="B4327" s="10" t="s">
        <v>3779</v>
      </c>
      <c r="C4327" s="10" t="s">
        <v>3780</v>
      </c>
      <c r="D4327" s="10" t="s">
        <v>4241</v>
      </c>
      <c r="E4327" s="10" t="str">
        <f>"644020240514222017180353"</f>
        <v>644020240514222017180353</v>
      </c>
      <c r="F4327" s="9"/>
    </row>
    <row r="4328" s="2" customFormat="1" ht="30" customHeight="1" spans="1:6">
      <c r="A4328" s="9">
        <v>4325</v>
      </c>
      <c r="B4328" s="10" t="s">
        <v>3779</v>
      </c>
      <c r="C4328" s="10" t="s">
        <v>3780</v>
      </c>
      <c r="D4328" s="10" t="s">
        <v>4242</v>
      </c>
      <c r="E4328" s="10" t="str">
        <f>"644020240514164317179549"</f>
        <v>644020240514164317179549</v>
      </c>
      <c r="F4328" s="9"/>
    </row>
    <row r="4329" s="2" customFormat="1" ht="30" customHeight="1" spans="1:6">
      <c r="A4329" s="9">
        <v>4326</v>
      </c>
      <c r="B4329" s="10" t="s">
        <v>3779</v>
      </c>
      <c r="C4329" s="10" t="s">
        <v>3780</v>
      </c>
      <c r="D4329" s="10" t="s">
        <v>4243</v>
      </c>
      <c r="E4329" s="10" t="str">
        <f>"644020240513235429177627"</f>
        <v>644020240513235429177627</v>
      </c>
      <c r="F4329" s="9"/>
    </row>
    <row r="4330" s="2" customFormat="1" ht="30" customHeight="1" spans="1:6">
      <c r="A4330" s="9">
        <v>4327</v>
      </c>
      <c r="B4330" s="10" t="s">
        <v>3779</v>
      </c>
      <c r="C4330" s="10" t="s">
        <v>3780</v>
      </c>
      <c r="D4330" s="10" t="s">
        <v>4244</v>
      </c>
      <c r="E4330" s="10" t="str">
        <f>"644020240513211730177035"</f>
        <v>644020240513211730177035</v>
      </c>
      <c r="F4330" s="9"/>
    </row>
    <row r="4331" s="2" customFormat="1" ht="30" customHeight="1" spans="1:6">
      <c r="A4331" s="9">
        <v>4328</v>
      </c>
      <c r="B4331" s="10" t="s">
        <v>3779</v>
      </c>
      <c r="C4331" s="10" t="s">
        <v>3780</v>
      </c>
      <c r="D4331" s="10" t="s">
        <v>4245</v>
      </c>
      <c r="E4331" s="10" t="str">
        <f>"644020240514181412179803"</f>
        <v>644020240514181412179803</v>
      </c>
      <c r="F4331" s="9"/>
    </row>
    <row r="4332" s="2" customFormat="1" ht="30" customHeight="1" spans="1:6">
      <c r="A4332" s="9">
        <v>4329</v>
      </c>
      <c r="B4332" s="10" t="s">
        <v>3779</v>
      </c>
      <c r="C4332" s="10" t="s">
        <v>3780</v>
      </c>
      <c r="D4332" s="10" t="s">
        <v>4246</v>
      </c>
      <c r="E4332" s="10" t="str">
        <f>"644020240514174811179752"</f>
        <v>644020240514174811179752</v>
      </c>
      <c r="F4332" s="9"/>
    </row>
    <row r="4333" s="2" customFormat="1" ht="30" customHeight="1" spans="1:6">
      <c r="A4333" s="9">
        <v>4330</v>
      </c>
      <c r="B4333" s="10" t="s">
        <v>3779</v>
      </c>
      <c r="C4333" s="10" t="s">
        <v>3780</v>
      </c>
      <c r="D4333" s="10" t="s">
        <v>4247</v>
      </c>
      <c r="E4333" s="10" t="str">
        <f>"644020240514224040180412"</f>
        <v>644020240514224040180412</v>
      </c>
      <c r="F4333" s="9"/>
    </row>
    <row r="4334" s="2" customFormat="1" ht="30" customHeight="1" spans="1:6">
      <c r="A4334" s="9">
        <v>4331</v>
      </c>
      <c r="B4334" s="10" t="s">
        <v>3779</v>
      </c>
      <c r="C4334" s="10" t="s">
        <v>3780</v>
      </c>
      <c r="D4334" s="10" t="s">
        <v>1522</v>
      </c>
      <c r="E4334" s="10" t="str">
        <f>"644020240513161126175853"</f>
        <v>644020240513161126175853</v>
      </c>
      <c r="F4334" s="9"/>
    </row>
    <row r="4335" s="2" customFormat="1" ht="30" customHeight="1" spans="1:6">
      <c r="A4335" s="9">
        <v>4332</v>
      </c>
      <c r="B4335" s="10" t="s">
        <v>3779</v>
      </c>
      <c r="C4335" s="10" t="s">
        <v>3780</v>
      </c>
      <c r="D4335" s="10" t="s">
        <v>4248</v>
      </c>
      <c r="E4335" s="10" t="str">
        <f>"644020240513214800177163"</f>
        <v>644020240513214800177163</v>
      </c>
      <c r="F4335" s="9"/>
    </row>
    <row r="4336" s="2" customFormat="1" ht="30" customHeight="1" spans="1:6">
      <c r="A4336" s="9">
        <v>4333</v>
      </c>
      <c r="B4336" s="10" t="s">
        <v>3779</v>
      </c>
      <c r="C4336" s="10" t="s">
        <v>3780</v>
      </c>
      <c r="D4336" s="10" t="s">
        <v>4249</v>
      </c>
      <c r="E4336" s="10" t="str">
        <f>"644020240513170000176091"</f>
        <v>644020240513170000176091</v>
      </c>
      <c r="F4336" s="9"/>
    </row>
    <row r="4337" s="2" customFormat="1" ht="30" customHeight="1" spans="1:6">
      <c r="A4337" s="9">
        <v>4334</v>
      </c>
      <c r="B4337" s="10" t="s">
        <v>3779</v>
      </c>
      <c r="C4337" s="10" t="s">
        <v>3780</v>
      </c>
      <c r="D4337" s="10" t="s">
        <v>4250</v>
      </c>
      <c r="E4337" s="10" t="str">
        <f>"644020240514221454180337"</f>
        <v>644020240514221454180337</v>
      </c>
      <c r="F4337" s="9"/>
    </row>
    <row r="4338" s="2" customFormat="1" ht="30" customHeight="1" spans="1:6">
      <c r="A4338" s="9">
        <v>4335</v>
      </c>
      <c r="B4338" s="10" t="s">
        <v>3779</v>
      </c>
      <c r="C4338" s="10" t="s">
        <v>3780</v>
      </c>
      <c r="D4338" s="10" t="s">
        <v>4251</v>
      </c>
      <c r="E4338" s="10" t="str">
        <f>"644020240514225702180449"</f>
        <v>644020240514225702180449</v>
      </c>
      <c r="F4338" s="9"/>
    </row>
    <row r="4339" s="2" customFormat="1" ht="30" customHeight="1" spans="1:6">
      <c r="A4339" s="9">
        <v>4336</v>
      </c>
      <c r="B4339" s="10" t="s">
        <v>3779</v>
      </c>
      <c r="C4339" s="10" t="s">
        <v>3780</v>
      </c>
      <c r="D4339" s="10" t="s">
        <v>4252</v>
      </c>
      <c r="E4339" s="10" t="str">
        <f>"644020240514223630180394"</f>
        <v>644020240514223630180394</v>
      </c>
      <c r="F4339" s="9"/>
    </row>
    <row r="4340" s="2" customFormat="1" ht="30" customHeight="1" spans="1:6">
      <c r="A4340" s="9">
        <v>4337</v>
      </c>
      <c r="B4340" s="10" t="s">
        <v>3779</v>
      </c>
      <c r="C4340" s="10" t="s">
        <v>3780</v>
      </c>
      <c r="D4340" s="10" t="s">
        <v>4253</v>
      </c>
      <c r="E4340" s="10" t="str">
        <f>"644020240514230921180483"</f>
        <v>644020240514230921180483</v>
      </c>
      <c r="F4340" s="9"/>
    </row>
    <row r="4341" s="2" customFormat="1" ht="30" customHeight="1" spans="1:6">
      <c r="A4341" s="9">
        <v>4338</v>
      </c>
      <c r="B4341" s="10" t="s">
        <v>3779</v>
      </c>
      <c r="C4341" s="10" t="s">
        <v>3780</v>
      </c>
      <c r="D4341" s="10" t="s">
        <v>4254</v>
      </c>
      <c r="E4341" s="10" t="str">
        <f>"644020240513230033177493"</f>
        <v>644020240513230033177493</v>
      </c>
      <c r="F4341" s="9"/>
    </row>
    <row r="4342" s="2" customFormat="1" ht="30" customHeight="1" spans="1:6">
      <c r="A4342" s="9">
        <v>4339</v>
      </c>
      <c r="B4342" s="10" t="s">
        <v>3779</v>
      </c>
      <c r="C4342" s="10" t="s">
        <v>3780</v>
      </c>
      <c r="D4342" s="10" t="s">
        <v>4255</v>
      </c>
      <c r="E4342" s="10" t="str">
        <f>"644020240512223823171540"</f>
        <v>644020240512223823171540</v>
      </c>
      <c r="F4342" s="9"/>
    </row>
    <row r="4343" s="2" customFormat="1" ht="30" customHeight="1" spans="1:6">
      <c r="A4343" s="9">
        <v>4340</v>
      </c>
      <c r="B4343" s="10" t="s">
        <v>3779</v>
      </c>
      <c r="C4343" s="10" t="s">
        <v>3780</v>
      </c>
      <c r="D4343" s="10" t="s">
        <v>4256</v>
      </c>
      <c r="E4343" s="10" t="str">
        <f>"644020240512105257168683"</f>
        <v>644020240512105257168683</v>
      </c>
      <c r="F4343" s="9"/>
    </row>
    <row r="4344" s="2" customFormat="1" ht="30" customHeight="1" spans="1:6">
      <c r="A4344" s="9">
        <v>4341</v>
      </c>
      <c r="B4344" s="10" t="s">
        <v>3779</v>
      </c>
      <c r="C4344" s="10" t="s">
        <v>3780</v>
      </c>
      <c r="D4344" s="10" t="s">
        <v>4257</v>
      </c>
      <c r="E4344" s="10" t="str">
        <f>"644020240514232050180507"</f>
        <v>644020240514232050180507</v>
      </c>
      <c r="F4344" s="9"/>
    </row>
    <row r="4345" s="2" customFormat="1" ht="30" customHeight="1" spans="1:6">
      <c r="A4345" s="9">
        <v>4342</v>
      </c>
      <c r="B4345" s="10" t="s">
        <v>3779</v>
      </c>
      <c r="C4345" s="10" t="s">
        <v>3780</v>
      </c>
      <c r="D4345" s="10" t="s">
        <v>4258</v>
      </c>
      <c r="E4345" s="10" t="str">
        <f>"644020240514232154180509"</f>
        <v>644020240514232154180509</v>
      </c>
      <c r="F4345" s="9"/>
    </row>
    <row r="4346" s="2" customFormat="1" ht="30" customHeight="1" spans="1:6">
      <c r="A4346" s="9">
        <v>4343</v>
      </c>
      <c r="B4346" s="10" t="s">
        <v>3779</v>
      </c>
      <c r="C4346" s="10" t="s">
        <v>3780</v>
      </c>
      <c r="D4346" s="10" t="s">
        <v>4259</v>
      </c>
      <c r="E4346" s="10" t="str">
        <f>"644020240512094646168308"</f>
        <v>644020240512094646168308</v>
      </c>
      <c r="F4346" s="9"/>
    </row>
    <row r="4347" s="2" customFormat="1" ht="30" customHeight="1" spans="1:6">
      <c r="A4347" s="9">
        <v>4344</v>
      </c>
      <c r="B4347" s="10" t="s">
        <v>3779</v>
      </c>
      <c r="C4347" s="10" t="s">
        <v>3780</v>
      </c>
      <c r="D4347" s="10" t="s">
        <v>4260</v>
      </c>
      <c r="E4347" s="10" t="str">
        <f>"644020240514221409180335"</f>
        <v>644020240514221409180335</v>
      </c>
      <c r="F4347" s="9"/>
    </row>
    <row r="4348" s="2" customFormat="1" ht="30" customHeight="1" spans="1:6">
      <c r="A4348" s="9">
        <v>4345</v>
      </c>
      <c r="B4348" s="10" t="s">
        <v>3779</v>
      </c>
      <c r="C4348" s="10" t="s">
        <v>3780</v>
      </c>
      <c r="D4348" s="10" t="s">
        <v>4261</v>
      </c>
      <c r="E4348" s="10" t="str">
        <f>"644020240513112944173958"</f>
        <v>644020240513112944173958</v>
      </c>
      <c r="F4348" s="9"/>
    </row>
    <row r="4349" s="2" customFormat="1" ht="30" customHeight="1" spans="1:6">
      <c r="A4349" s="9">
        <v>4346</v>
      </c>
      <c r="B4349" s="10" t="s">
        <v>3779</v>
      </c>
      <c r="C4349" s="10" t="s">
        <v>3780</v>
      </c>
      <c r="D4349" s="10" t="s">
        <v>4262</v>
      </c>
      <c r="E4349" s="10" t="str">
        <f>"644020240514234102180540"</f>
        <v>644020240514234102180540</v>
      </c>
      <c r="F4349" s="9"/>
    </row>
    <row r="4350" s="2" customFormat="1" ht="30" customHeight="1" spans="1:6">
      <c r="A4350" s="9">
        <v>4347</v>
      </c>
      <c r="B4350" s="10" t="s">
        <v>3779</v>
      </c>
      <c r="C4350" s="10" t="s">
        <v>3780</v>
      </c>
      <c r="D4350" s="10" t="s">
        <v>4263</v>
      </c>
      <c r="E4350" s="10" t="str">
        <f>"644020240513151306175301"</f>
        <v>644020240513151306175301</v>
      </c>
      <c r="F4350" s="9"/>
    </row>
    <row r="4351" s="2" customFormat="1" ht="30" customHeight="1" spans="1:6">
      <c r="A4351" s="9">
        <v>4348</v>
      </c>
      <c r="B4351" s="10" t="s">
        <v>3779</v>
      </c>
      <c r="C4351" s="10" t="s">
        <v>3780</v>
      </c>
      <c r="D4351" s="10" t="s">
        <v>4264</v>
      </c>
      <c r="E4351" s="10" t="str">
        <f>"644020240513191341176557"</f>
        <v>644020240513191341176557</v>
      </c>
      <c r="F4351" s="9"/>
    </row>
    <row r="4352" s="2" customFormat="1" ht="30" customHeight="1" spans="1:6">
      <c r="A4352" s="9">
        <v>4349</v>
      </c>
      <c r="B4352" s="10" t="s">
        <v>3779</v>
      </c>
      <c r="C4352" s="10" t="s">
        <v>3780</v>
      </c>
      <c r="D4352" s="10" t="s">
        <v>4265</v>
      </c>
      <c r="E4352" s="10" t="str">
        <f>"644020240515013233180621"</f>
        <v>644020240515013233180621</v>
      </c>
      <c r="F4352" s="9"/>
    </row>
    <row r="4353" s="2" customFormat="1" ht="30" customHeight="1" spans="1:6">
      <c r="A4353" s="9">
        <v>4350</v>
      </c>
      <c r="B4353" s="10" t="s">
        <v>3779</v>
      </c>
      <c r="C4353" s="10" t="s">
        <v>3780</v>
      </c>
      <c r="D4353" s="10" t="s">
        <v>4266</v>
      </c>
      <c r="E4353" s="10" t="str">
        <f>"644020240515015648180623"</f>
        <v>644020240515015648180623</v>
      </c>
      <c r="F4353" s="9"/>
    </row>
    <row r="4354" s="2" customFormat="1" ht="30" customHeight="1" spans="1:6">
      <c r="A4354" s="9">
        <v>4351</v>
      </c>
      <c r="B4354" s="10" t="s">
        <v>3779</v>
      </c>
      <c r="C4354" s="10" t="s">
        <v>3780</v>
      </c>
      <c r="D4354" s="10" t="s">
        <v>4267</v>
      </c>
      <c r="E4354" s="10" t="str">
        <f>"644020240514135144179060"</f>
        <v>644020240514135144179060</v>
      </c>
      <c r="F4354" s="9"/>
    </row>
    <row r="4355" s="2" customFormat="1" ht="30" customHeight="1" spans="1:6">
      <c r="A4355" s="9">
        <v>4352</v>
      </c>
      <c r="B4355" s="10" t="s">
        <v>3779</v>
      </c>
      <c r="C4355" s="10" t="s">
        <v>3780</v>
      </c>
      <c r="D4355" s="10" t="s">
        <v>3811</v>
      </c>
      <c r="E4355" s="10" t="str">
        <f>"644020240512111047168776"</f>
        <v>644020240512111047168776</v>
      </c>
      <c r="F4355" s="9"/>
    </row>
    <row r="4356" s="2" customFormat="1" ht="30" customHeight="1" spans="1:6">
      <c r="A4356" s="9">
        <v>4353</v>
      </c>
      <c r="B4356" s="10" t="s">
        <v>3779</v>
      </c>
      <c r="C4356" s="10" t="s">
        <v>3780</v>
      </c>
      <c r="D4356" s="10" t="s">
        <v>4268</v>
      </c>
      <c r="E4356" s="10" t="str">
        <f>"644020240515080108180663"</f>
        <v>644020240515080108180663</v>
      </c>
      <c r="F4356" s="9"/>
    </row>
    <row r="4357" s="2" customFormat="1" ht="30" customHeight="1" spans="1:6">
      <c r="A4357" s="9">
        <v>4354</v>
      </c>
      <c r="B4357" s="10" t="s">
        <v>3779</v>
      </c>
      <c r="C4357" s="10" t="s">
        <v>3780</v>
      </c>
      <c r="D4357" s="10" t="s">
        <v>4269</v>
      </c>
      <c r="E4357" s="10" t="str">
        <f>"644020240514121835178874"</f>
        <v>644020240514121835178874</v>
      </c>
      <c r="F4357" s="9"/>
    </row>
    <row r="4358" s="2" customFormat="1" ht="30" customHeight="1" spans="1:6">
      <c r="A4358" s="9">
        <v>4355</v>
      </c>
      <c r="B4358" s="10" t="s">
        <v>3779</v>
      </c>
      <c r="C4358" s="10" t="s">
        <v>3780</v>
      </c>
      <c r="D4358" s="10" t="s">
        <v>4270</v>
      </c>
      <c r="E4358" s="10" t="str">
        <f>"644020240515090116180766"</f>
        <v>644020240515090116180766</v>
      </c>
      <c r="F4358" s="9"/>
    </row>
    <row r="4359" s="2" customFormat="1" ht="30" customHeight="1" spans="1:6">
      <c r="A4359" s="9">
        <v>4356</v>
      </c>
      <c r="B4359" s="10" t="s">
        <v>3779</v>
      </c>
      <c r="C4359" s="10" t="s">
        <v>3780</v>
      </c>
      <c r="D4359" s="10" t="s">
        <v>4271</v>
      </c>
      <c r="E4359" s="10" t="str">
        <f>"644020240513214820177166"</f>
        <v>644020240513214820177166</v>
      </c>
      <c r="F4359" s="9"/>
    </row>
    <row r="4360" s="2" customFormat="1" ht="30" customHeight="1" spans="1:6">
      <c r="A4360" s="9">
        <v>4357</v>
      </c>
      <c r="B4360" s="10" t="s">
        <v>3779</v>
      </c>
      <c r="C4360" s="10" t="s">
        <v>3780</v>
      </c>
      <c r="D4360" s="10" t="s">
        <v>4272</v>
      </c>
      <c r="E4360" s="10" t="str">
        <f>"644020240514182756179830"</f>
        <v>644020240514182756179830</v>
      </c>
      <c r="F4360" s="9"/>
    </row>
    <row r="4361" s="2" customFormat="1" ht="30" customHeight="1" spans="1:6">
      <c r="A4361" s="9">
        <v>4358</v>
      </c>
      <c r="B4361" s="10" t="s">
        <v>3779</v>
      </c>
      <c r="C4361" s="10" t="s">
        <v>3780</v>
      </c>
      <c r="D4361" s="10" t="s">
        <v>4273</v>
      </c>
      <c r="E4361" s="10" t="str">
        <f>"644020240514171948179680"</f>
        <v>644020240514171948179680</v>
      </c>
      <c r="F4361" s="9"/>
    </row>
    <row r="4362" s="2" customFormat="1" ht="30" customHeight="1" spans="1:6">
      <c r="A4362" s="9">
        <v>4359</v>
      </c>
      <c r="B4362" s="10" t="s">
        <v>3779</v>
      </c>
      <c r="C4362" s="10" t="s">
        <v>3780</v>
      </c>
      <c r="D4362" s="10" t="s">
        <v>4274</v>
      </c>
      <c r="E4362" s="10" t="str">
        <f>"644020240514151806179255"</f>
        <v>644020240514151806179255</v>
      </c>
      <c r="F4362" s="9"/>
    </row>
    <row r="4363" s="2" customFormat="1" ht="30" customHeight="1" spans="1:6">
      <c r="A4363" s="9">
        <v>4360</v>
      </c>
      <c r="B4363" s="10" t="s">
        <v>3779</v>
      </c>
      <c r="C4363" s="10" t="s">
        <v>3780</v>
      </c>
      <c r="D4363" s="10" t="s">
        <v>4275</v>
      </c>
      <c r="E4363" s="10" t="str">
        <f>"644020240513185256176486"</f>
        <v>644020240513185256176486</v>
      </c>
      <c r="F4363" s="9"/>
    </row>
    <row r="4364" s="2" customFormat="1" ht="30" customHeight="1" spans="1:6">
      <c r="A4364" s="9">
        <v>4361</v>
      </c>
      <c r="B4364" s="10" t="s">
        <v>3779</v>
      </c>
      <c r="C4364" s="10" t="s">
        <v>3780</v>
      </c>
      <c r="D4364" s="10" t="s">
        <v>4237</v>
      </c>
      <c r="E4364" s="10" t="str">
        <f>"644020240513093446172855"</f>
        <v>644020240513093446172855</v>
      </c>
      <c r="F4364" s="9"/>
    </row>
    <row r="4365" s="2" customFormat="1" ht="30" customHeight="1" spans="1:6">
      <c r="A4365" s="9">
        <v>4362</v>
      </c>
      <c r="B4365" s="10" t="s">
        <v>3779</v>
      </c>
      <c r="C4365" s="10" t="s">
        <v>3780</v>
      </c>
      <c r="D4365" s="10" t="s">
        <v>4276</v>
      </c>
      <c r="E4365" s="10" t="str">
        <f>"644020240512160138169882"</f>
        <v>644020240512160138169882</v>
      </c>
      <c r="F4365" s="9"/>
    </row>
    <row r="4366" s="2" customFormat="1" ht="30" customHeight="1" spans="1:6">
      <c r="A4366" s="9">
        <v>4363</v>
      </c>
      <c r="B4366" s="10" t="s">
        <v>3779</v>
      </c>
      <c r="C4366" s="10" t="s">
        <v>3780</v>
      </c>
      <c r="D4366" s="10" t="s">
        <v>4277</v>
      </c>
      <c r="E4366" s="10" t="str">
        <f>"644020240515094728180904"</f>
        <v>644020240515094728180904</v>
      </c>
      <c r="F4366" s="9"/>
    </row>
    <row r="4367" s="2" customFormat="1" ht="30" customHeight="1" spans="1:6">
      <c r="A4367" s="9">
        <v>4364</v>
      </c>
      <c r="B4367" s="10" t="s">
        <v>3779</v>
      </c>
      <c r="C4367" s="10" t="s">
        <v>3780</v>
      </c>
      <c r="D4367" s="10" t="s">
        <v>4278</v>
      </c>
      <c r="E4367" s="10" t="str">
        <f>"644020240515092339180829"</f>
        <v>644020240515092339180829</v>
      </c>
      <c r="F4367" s="9"/>
    </row>
    <row r="4368" s="2" customFormat="1" ht="30" customHeight="1" spans="1:6">
      <c r="A4368" s="9">
        <v>4365</v>
      </c>
      <c r="B4368" s="10" t="s">
        <v>3779</v>
      </c>
      <c r="C4368" s="10" t="s">
        <v>3780</v>
      </c>
      <c r="D4368" s="10" t="s">
        <v>4279</v>
      </c>
      <c r="E4368" s="10" t="str">
        <f>"644020240515100309180951"</f>
        <v>644020240515100309180951</v>
      </c>
      <c r="F4368" s="9"/>
    </row>
    <row r="4369" s="2" customFormat="1" ht="30" customHeight="1" spans="1:6">
      <c r="A4369" s="9">
        <v>4366</v>
      </c>
      <c r="B4369" s="10" t="s">
        <v>3779</v>
      </c>
      <c r="C4369" s="10" t="s">
        <v>3780</v>
      </c>
      <c r="D4369" s="10" t="s">
        <v>3611</v>
      </c>
      <c r="E4369" s="10" t="str">
        <f>"644020240514092600178090"</f>
        <v>644020240514092600178090</v>
      </c>
      <c r="F4369" s="9"/>
    </row>
    <row r="4370" s="2" customFormat="1" ht="30" customHeight="1" spans="1:6">
      <c r="A4370" s="9">
        <v>4367</v>
      </c>
      <c r="B4370" s="10" t="s">
        <v>3779</v>
      </c>
      <c r="C4370" s="10" t="s">
        <v>3780</v>
      </c>
      <c r="D4370" s="10" t="s">
        <v>4280</v>
      </c>
      <c r="E4370" s="10" t="str">
        <f>"644020240515100713180963"</f>
        <v>644020240515100713180963</v>
      </c>
      <c r="F4370" s="9"/>
    </row>
    <row r="4371" s="2" customFormat="1" ht="30" customHeight="1" spans="1:6">
      <c r="A4371" s="9">
        <v>4368</v>
      </c>
      <c r="B4371" s="10" t="s">
        <v>3779</v>
      </c>
      <c r="C4371" s="10" t="s">
        <v>3780</v>
      </c>
      <c r="D4371" s="10" t="s">
        <v>4281</v>
      </c>
      <c r="E4371" s="10" t="str">
        <f>"644020240513193034176617"</f>
        <v>644020240513193034176617</v>
      </c>
      <c r="F4371" s="9"/>
    </row>
    <row r="4372" s="2" customFormat="1" ht="30" customHeight="1" spans="1:6">
      <c r="A4372" s="9">
        <v>4369</v>
      </c>
      <c r="B4372" s="10" t="s">
        <v>3779</v>
      </c>
      <c r="C4372" s="10" t="s">
        <v>3780</v>
      </c>
      <c r="D4372" s="10" t="s">
        <v>4282</v>
      </c>
      <c r="E4372" s="10" t="str">
        <f>"644020240514104626178534"</f>
        <v>644020240514104626178534</v>
      </c>
      <c r="F4372" s="9"/>
    </row>
    <row r="4373" s="2" customFormat="1" ht="30" customHeight="1" spans="1:6">
      <c r="A4373" s="9">
        <v>4370</v>
      </c>
      <c r="B4373" s="10" t="s">
        <v>3779</v>
      </c>
      <c r="C4373" s="10" t="s">
        <v>3780</v>
      </c>
      <c r="D4373" s="10" t="s">
        <v>4283</v>
      </c>
      <c r="E4373" s="10" t="str">
        <f>"644020240515101240180981"</f>
        <v>644020240515101240180981</v>
      </c>
      <c r="F4373" s="9"/>
    </row>
    <row r="4374" s="2" customFormat="1" ht="30" customHeight="1" spans="1:6">
      <c r="A4374" s="9">
        <v>4371</v>
      </c>
      <c r="B4374" s="10" t="s">
        <v>3779</v>
      </c>
      <c r="C4374" s="10" t="s">
        <v>3780</v>
      </c>
      <c r="D4374" s="10" t="s">
        <v>4284</v>
      </c>
      <c r="E4374" s="10" t="str">
        <f>"644020240515095128180916"</f>
        <v>644020240515095128180916</v>
      </c>
      <c r="F4374" s="9"/>
    </row>
    <row r="4375" s="2" customFormat="1" ht="30" customHeight="1" spans="1:6">
      <c r="A4375" s="9">
        <v>4372</v>
      </c>
      <c r="B4375" s="10" t="s">
        <v>3779</v>
      </c>
      <c r="C4375" s="10" t="s">
        <v>3780</v>
      </c>
      <c r="D4375" s="10" t="s">
        <v>4166</v>
      </c>
      <c r="E4375" s="10" t="str">
        <f>"644020240515080624180671"</f>
        <v>644020240515080624180671</v>
      </c>
      <c r="F4375" s="9"/>
    </row>
    <row r="4376" s="2" customFormat="1" ht="30" customHeight="1" spans="1:6">
      <c r="A4376" s="9">
        <v>4373</v>
      </c>
      <c r="B4376" s="10" t="s">
        <v>3779</v>
      </c>
      <c r="C4376" s="10" t="s">
        <v>3780</v>
      </c>
      <c r="D4376" s="10" t="s">
        <v>4285</v>
      </c>
      <c r="E4376" s="10" t="str">
        <f>"644020240512195156170678"</f>
        <v>644020240512195156170678</v>
      </c>
      <c r="F4376" s="9"/>
    </row>
    <row r="4377" s="2" customFormat="1" ht="30" customHeight="1" spans="1:6">
      <c r="A4377" s="9">
        <v>4374</v>
      </c>
      <c r="B4377" s="10" t="s">
        <v>3779</v>
      </c>
      <c r="C4377" s="10" t="s">
        <v>3780</v>
      </c>
      <c r="D4377" s="10" t="s">
        <v>4286</v>
      </c>
      <c r="E4377" s="10" t="str">
        <f>"644020240515094759180907"</f>
        <v>644020240515094759180907</v>
      </c>
      <c r="F4377" s="9"/>
    </row>
    <row r="4378" s="2" customFormat="1" ht="30" customHeight="1" spans="1:6">
      <c r="A4378" s="9">
        <v>4375</v>
      </c>
      <c r="B4378" s="10" t="s">
        <v>3779</v>
      </c>
      <c r="C4378" s="10" t="s">
        <v>3780</v>
      </c>
      <c r="D4378" s="10" t="s">
        <v>965</v>
      </c>
      <c r="E4378" s="10" t="str">
        <f>"644020240515093748180874"</f>
        <v>644020240515093748180874</v>
      </c>
      <c r="F4378" s="9"/>
    </row>
    <row r="4379" s="2" customFormat="1" ht="30" customHeight="1" spans="1:6">
      <c r="A4379" s="9">
        <v>4376</v>
      </c>
      <c r="B4379" s="10" t="s">
        <v>3779</v>
      </c>
      <c r="C4379" s="10" t="s">
        <v>3780</v>
      </c>
      <c r="D4379" s="10" t="s">
        <v>4287</v>
      </c>
      <c r="E4379" s="10" t="str">
        <f>"644020240512124136169173"</f>
        <v>644020240512124136169173</v>
      </c>
      <c r="F4379" s="9"/>
    </row>
    <row r="4380" s="2" customFormat="1" ht="30" customHeight="1" spans="1:6">
      <c r="A4380" s="9">
        <v>4377</v>
      </c>
      <c r="B4380" s="10" t="s">
        <v>3779</v>
      </c>
      <c r="C4380" s="10" t="s">
        <v>3780</v>
      </c>
      <c r="D4380" s="10" t="s">
        <v>4288</v>
      </c>
      <c r="E4380" s="10" t="str">
        <f>"644020240515104255181086"</f>
        <v>644020240515104255181086</v>
      </c>
      <c r="F4380" s="9"/>
    </row>
    <row r="4381" s="2" customFormat="1" ht="30" customHeight="1" spans="1:6">
      <c r="A4381" s="9">
        <v>4378</v>
      </c>
      <c r="B4381" s="10" t="s">
        <v>3779</v>
      </c>
      <c r="C4381" s="10" t="s">
        <v>3780</v>
      </c>
      <c r="D4381" s="10" t="s">
        <v>34</v>
      </c>
      <c r="E4381" s="10" t="str">
        <f>"644020240514121724178872"</f>
        <v>644020240514121724178872</v>
      </c>
      <c r="F4381" s="9"/>
    </row>
    <row r="4382" s="2" customFormat="1" ht="30" customHeight="1" spans="1:6">
      <c r="A4382" s="9">
        <v>4379</v>
      </c>
      <c r="B4382" s="10" t="s">
        <v>3779</v>
      </c>
      <c r="C4382" s="10" t="s">
        <v>3780</v>
      </c>
      <c r="D4382" s="10" t="s">
        <v>4289</v>
      </c>
      <c r="E4382" s="10" t="str">
        <f>"644020240514110031178603"</f>
        <v>644020240514110031178603</v>
      </c>
      <c r="F4382" s="9"/>
    </row>
    <row r="4383" s="2" customFormat="1" ht="30" customHeight="1" spans="1:6">
      <c r="A4383" s="9">
        <v>4380</v>
      </c>
      <c r="B4383" s="10" t="s">
        <v>3779</v>
      </c>
      <c r="C4383" s="10" t="s">
        <v>3780</v>
      </c>
      <c r="D4383" s="10" t="s">
        <v>4290</v>
      </c>
      <c r="E4383" s="10" t="str">
        <f>"644020240514234343180547"</f>
        <v>644020240514234343180547</v>
      </c>
      <c r="F4383" s="9"/>
    </row>
    <row r="4384" s="2" customFormat="1" ht="30" customHeight="1" spans="1:6">
      <c r="A4384" s="9">
        <v>4381</v>
      </c>
      <c r="B4384" s="10" t="s">
        <v>3779</v>
      </c>
      <c r="C4384" s="10" t="s">
        <v>3780</v>
      </c>
      <c r="D4384" s="10" t="s">
        <v>4291</v>
      </c>
      <c r="E4384" s="10" t="str">
        <f>"644020240515100648180961"</f>
        <v>644020240515100648180961</v>
      </c>
      <c r="F4384" s="9"/>
    </row>
    <row r="4385" s="2" customFormat="1" ht="30" customHeight="1" spans="1:6">
      <c r="A4385" s="9">
        <v>4382</v>
      </c>
      <c r="B4385" s="10" t="s">
        <v>3779</v>
      </c>
      <c r="C4385" s="10" t="s">
        <v>3780</v>
      </c>
      <c r="D4385" s="10" t="s">
        <v>4292</v>
      </c>
      <c r="E4385" s="10" t="str">
        <f>"644020240515105744181138"</f>
        <v>644020240515105744181138</v>
      </c>
      <c r="F4385" s="9"/>
    </row>
    <row r="4386" s="2" customFormat="1" ht="30" customHeight="1" spans="1:6">
      <c r="A4386" s="9">
        <v>4383</v>
      </c>
      <c r="B4386" s="10" t="s">
        <v>3779</v>
      </c>
      <c r="C4386" s="10" t="s">
        <v>3780</v>
      </c>
      <c r="D4386" s="10" t="s">
        <v>4293</v>
      </c>
      <c r="E4386" s="10" t="str">
        <f>"644020240515110607181169"</f>
        <v>644020240515110607181169</v>
      </c>
      <c r="F4386" s="9"/>
    </row>
    <row r="4387" s="2" customFormat="1" ht="30" customHeight="1" spans="1:6">
      <c r="A4387" s="9">
        <v>4384</v>
      </c>
      <c r="B4387" s="10" t="s">
        <v>3779</v>
      </c>
      <c r="C4387" s="10" t="s">
        <v>3780</v>
      </c>
      <c r="D4387" s="10" t="s">
        <v>4294</v>
      </c>
      <c r="E4387" s="10" t="str">
        <f>"644020240514155044179367"</f>
        <v>644020240514155044179367</v>
      </c>
      <c r="F4387" s="9"/>
    </row>
    <row r="4388" s="2" customFormat="1" ht="30" customHeight="1" spans="1:6">
      <c r="A4388" s="9">
        <v>4385</v>
      </c>
      <c r="B4388" s="10" t="s">
        <v>3779</v>
      </c>
      <c r="C4388" s="10" t="s">
        <v>3780</v>
      </c>
      <c r="D4388" s="10" t="s">
        <v>4295</v>
      </c>
      <c r="E4388" s="10" t="str">
        <f>"644020240515105033181114"</f>
        <v>644020240515105033181114</v>
      </c>
      <c r="F4388" s="9"/>
    </row>
    <row r="4389" s="2" customFormat="1" ht="30" customHeight="1" spans="1:6">
      <c r="A4389" s="9">
        <v>4386</v>
      </c>
      <c r="B4389" s="10" t="s">
        <v>3779</v>
      </c>
      <c r="C4389" s="10" t="s">
        <v>3780</v>
      </c>
      <c r="D4389" s="10" t="s">
        <v>4296</v>
      </c>
      <c r="E4389" s="10" t="str">
        <f>"644020240514131950179008"</f>
        <v>644020240514131950179008</v>
      </c>
      <c r="F4389" s="9"/>
    </row>
    <row r="4390" s="2" customFormat="1" ht="30" customHeight="1" spans="1:6">
      <c r="A4390" s="9">
        <v>4387</v>
      </c>
      <c r="B4390" s="10" t="s">
        <v>3779</v>
      </c>
      <c r="C4390" s="10" t="s">
        <v>3780</v>
      </c>
      <c r="D4390" s="10" t="s">
        <v>4297</v>
      </c>
      <c r="E4390" s="10" t="str">
        <f>"644020240515112052181211"</f>
        <v>644020240515112052181211</v>
      </c>
      <c r="F4390" s="9"/>
    </row>
    <row r="4391" s="2" customFormat="1" ht="30" customHeight="1" spans="1:6">
      <c r="A4391" s="9">
        <v>4388</v>
      </c>
      <c r="B4391" s="10" t="s">
        <v>3779</v>
      </c>
      <c r="C4391" s="10" t="s">
        <v>3780</v>
      </c>
      <c r="D4391" s="10" t="s">
        <v>4298</v>
      </c>
      <c r="E4391" s="10" t="str">
        <f>"644020240515113311181254"</f>
        <v>644020240515113311181254</v>
      </c>
      <c r="F4391" s="9"/>
    </row>
    <row r="4392" s="2" customFormat="1" ht="30" customHeight="1" spans="1:6">
      <c r="A4392" s="9">
        <v>4389</v>
      </c>
      <c r="B4392" s="10" t="s">
        <v>3779</v>
      </c>
      <c r="C4392" s="10" t="s">
        <v>3780</v>
      </c>
      <c r="D4392" s="10" t="s">
        <v>4299</v>
      </c>
      <c r="E4392" s="10" t="str">
        <f>"644020240515112521181228"</f>
        <v>644020240515112521181228</v>
      </c>
      <c r="F4392" s="9"/>
    </row>
    <row r="4393" s="2" customFormat="1" ht="30" customHeight="1" spans="1:6">
      <c r="A4393" s="9">
        <v>4390</v>
      </c>
      <c r="B4393" s="10" t="s">
        <v>3779</v>
      </c>
      <c r="C4393" s="10" t="s">
        <v>3780</v>
      </c>
      <c r="D4393" s="10" t="s">
        <v>4300</v>
      </c>
      <c r="E4393" s="10" t="str">
        <f>"644020240514231817180498"</f>
        <v>644020240514231817180498</v>
      </c>
      <c r="F4393" s="9"/>
    </row>
    <row r="4394" s="2" customFormat="1" ht="30" customHeight="1" spans="1:6">
      <c r="A4394" s="9">
        <v>4391</v>
      </c>
      <c r="B4394" s="10" t="s">
        <v>3779</v>
      </c>
      <c r="C4394" s="10" t="s">
        <v>3780</v>
      </c>
      <c r="D4394" s="10" t="s">
        <v>4301</v>
      </c>
      <c r="E4394" s="10" t="str">
        <f>"644020240513113137173972"</f>
        <v>644020240513113137173972</v>
      </c>
      <c r="F4394" s="9"/>
    </row>
    <row r="4395" s="2" customFormat="1" ht="30" customHeight="1" spans="1:6">
      <c r="A4395" s="9">
        <v>4392</v>
      </c>
      <c r="B4395" s="10" t="s">
        <v>3779</v>
      </c>
      <c r="C4395" s="10" t="s">
        <v>3780</v>
      </c>
      <c r="D4395" s="10" t="s">
        <v>4302</v>
      </c>
      <c r="E4395" s="10" t="str">
        <f>"644020240515121242181345"</f>
        <v>644020240515121242181345</v>
      </c>
      <c r="F4395" s="9"/>
    </row>
    <row r="4396" s="2" customFormat="1" ht="30" customHeight="1" spans="1:6">
      <c r="A4396" s="9">
        <v>4393</v>
      </c>
      <c r="B4396" s="10" t="s">
        <v>3779</v>
      </c>
      <c r="C4396" s="10" t="s">
        <v>3780</v>
      </c>
      <c r="D4396" s="10" t="s">
        <v>4303</v>
      </c>
      <c r="E4396" s="10" t="str">
        <f>"644020240515120622181336"</f>
        <v>644020240515120622181336</v>
      </c>
      <c r="F4396" s="9"/>
    </row>
    <row r="4397" s="2" customFormat="1" ht="30" customHeight="1" spans="1:6">
      <c r="A4397" s="9">
        <v>4394</v>
      </c>
      <c r="B4397" s="10" t="s">
        <v>3779</v>
      </c>
      <c r="C4397" s="10" t="s">
        <v>3780</v>
      </c>
      <c r="D4397" s="10" t="s">
        <v>4304</v>
      </c>
      <c r="E4397" s="10" t="str">
        <f>"644020240513230613177518"</f>
        <v>644020240513230613177518</v>
      </c>
      <c r="F4397" s="9"/>
    </row>
    <row r="4398" s="2" customFormat="1" ht="30" customHeight="1" spans="1:6">
      <c r="A4398" s="9">
        <v>4395</v>
      </c>
      <c r="B4398" s="10" t="s">
        <v>3779</v>
      </c>
      <c r="C4398" s="10" t="s">
        <v>3780</v>
      </c>
      <c r="D4398" s="10" t="s">
        <v>4305</v>
      </c>
      <c r="E4398" s="10" t="str">
        <f>"644020240514184247179850"</f>
        <v>644020240514184247179850</v>
      </c>
      <c r="F4398" s="9"/>
    </row>
    <row r="4399" s="2" customFormat="1" ht="30" customHeight="1" spans="1:6">
      <c r="A4399" s="9">
        <v>4396</v>
      </c>
      <c r="B4399" s="10" t="s">
        <v>3779</v>
      </c>
      <c r="C4399" s="10" t="s">
        <v>3780</v>
      </c>
      <c r="D4399" s="10" t="s">
        <v>4306</v>
      </c>
      <c r="E4399" s="10" t="str">
        <f>"644020240515120509181333"</f>
        <v>644020240515120509181333</v>
      </c>
      <c r="F4399" s="9"/>
    </row>
    <row r="4400" s="2" customFormat="1" ht="30" customHeight="1" spans="1:6">
      <c r="A4400" s="9">
        <v>4397</v>
      </c>
      <c r="B4400" s="10" t="s">
        <v>3779</v>
      </c>
      <c r="C4400" s="10" t="s">
        <v>3780</v>
      </c>
      <c r="D4400" s="10" t="s">
        <v>4307</v>
      </c>
      <c r="E4400" s="10" t="str">
        <f>"644020240514094016178167"</f>
        <v>644020240514094016178167</v>
      </c>
      <c r="F4400" s="9"/>
    </row>
    <row r="4401" s="2" customFormat="1" ht="30" customHeight="1" spans="1:6">
      <c r="A4401" s="9">
        <v>4398</v>
      </c>
      <c r="B4401" s="10" t="s">
        <v>3779</v>
      </c>
      <c r="C4401" s="10" t="s">
        <v>3780</v>
      </c>
      <c r="D4401" s="10" t="s">
        <v>4308</v>
      </c>
      <c r="E4401" s="10" t="str">
        <f>"644020240515010246180613"</f>
        <v>644020240515010246180613</v>
      </c>
      <c r="F4401" s="9"/>
    </row>
    <row r="4402" s="2" customFormat="1" ht="30" customHeight="1" spans="1:6">
      <c r="A4402" s="9">
        <v>4399</v>
      </c>
      <c r="B4402" s="10" t="s">
        <v>3779</v>
      </c>
      <c r="C4402" s="10" t="s">
        <v>3780</v>
      </c>
      <c r="D4402" s="10" t="s">
        <v>4309</v>
      </c>
      <c r="E4402" s="10" t="str">
        <f>"644020240514214729180254"</f>
        <v>644020240514214729180254</v>
      </c>
      <c r="F4402" s="9"/>
    </row>
    <row r="4403" s="2" customFormat="1" ht="30" customHeight="1" spans="1:6">
      <c r="A4403" s="9">
        <v>4400</v>
      </c>
      <c r="B4403" s="10" t="s">
        <v>3779</v>
      </c>
      <c r="C4403" s="10" t="s">
        <v>3780</v>
      </c>
      <c r="D4403" s="10" t="s">
        <v>4310</v>
      </c>
      <c r="E4403" s="10" t="str">
        <f>"644020240515100932180973"</f>
        <v>644020240515100932180973</v>
      </c>
      <c r="F4403" s="9"/>
    </row>
    <row r="4404" s="2" customFormat="1" ht="30" customHeight="1" spans="1:6">
      <c r="A4404" s="9">
        <v>4401</v>
      </c>
      <c r="B4404" s="10" t="s">
        <v>3779</v>
      </c>
      <c r="C4404" s="10" t="s">
        <v>3780</v>
      </c>
      <c r="D4404" s="10" t="s">
        <v>4311</v>
      </c>
      <c r="E4404" s="10" t="str">
        <f>"644020240515123823181384"</f>
        <v>644020240515123823181384</v>
      </c>
      <c r="F4404" s="9"/>
    </row>
    <row r="4405" s="2" customFormat="1" ht="30" customHeight="1" spans="1:6">
      <c r="A4405" s="9">
        <v>4402</v>
      </c>
      <c r="B4405" s="10" t="s">
        <v>3779</v>
      </c>
      <c r="C4405" s="10" t="s">
        <v>3780</v>
      </c>
      <c r="D4405" s="10" t="s">
        <v>4312</v>
      </c>
      <c r="E4405" s="10" t="str">
        <f>"644020240515131126181437"</f>
        <v>644020240515131126181437</v>
      </c>
      <c r="F4405" s="9"/>
    </row>
    <row r="4406" s="2" customFormat="1" ht="30" customHeight="1" spans="1:6">
      <c r="A4406" s="9">
        <v>4403</v>
      </c>
      <c r="B4406" s="10" t="s">
        <v>3779</v>
      </c>
      <c r="C4406" s="10" t="s">
        <v>3780</v>
      </c>
      <c r="D4406" s="10" t="s">
        <v>4313</v>
      </c>
      <c r="E4406" s="10" t="str">
        <f>"644020240515132321181457"</f>
        <v>644020240515132321181457</v>
      </c>
      <c r="F4406" s="9"/>
    </row>
    <row r="4407" s="2" customFormat="1" ht="30" customHeight="1" spans="1:6">
      <c r="A4407" s="9">
        <v>4404</v>
      </c>
      <c r="B4407" s="10" t="s">
        <v>3779</v>
      </c>
      <c r="C4407" s="10" t="s">
        <v>3780</v>
      </c>
      <c r="D4407" s="10" t="s">
        <v>4314</v>
      </c>
      <c r="E4407" s="10" t="str">
        <f>"644020240514231043180486"</f>
        <v>644020240514231043180486</v>
      </c>
      <c r="F4407" s="9"/>
    </row>
    <row r="4408" s="2" customFormat="1" ht="30" customHeight="1" spans="1:6">
      <c r="A4408" s="9">
        <v>4405</v>
      </c>
      <c r="B4408" s="10" t="s">
        <v>3779</v>
      </c>
      <c r="C4408" s="10" t="s">
        <v>3780</v>
      </c>
      <c r="D4408" s="10" t="s">
        <v>1587</v>
      </c>
      <c r="E4408" s="10" t="str">
        <f>"644020240514210249180120"</f>
        <v>644020240514210249180120</v>
      </c>
      <c r="F4408" s="9"/>
    </row>
    <row r="4409" s="2" customFormat="1" ht="30" customHeight="1" spans="1:6">
      <c r="A4409" s="9">
        <v>4406</v>
      </c>
      <c r="B4409" s="10" t="s">
        <v>3779</v>
      </c>
      <c r="C4409" s="10" t="s">
        <v>3780</v>
      </c>
      <c r="D4409" s="10" t="s">
        <v>4315</v>
      </c>
      <c r="E4409" s="10" t="str">
        <f>"644020240515130706181429"</f>
        <v>644020240515130706181429</v>
      </c>
      <c r="F4409" s="9"/>
    </row>
    <row r="4410" s="2" customFormat="1" ht="30" customHeight="1" spans="1:6">
      <c r="A4410" s="9">
        <v>4407</v>
      </c>
      <c r="B4410" s="10" t="s">
        <v>3779</v>
      </c>
      <c r="C4410" s="10" t="s">
        <v>3780</v>
      </c>
      <c r="D4410" s="10" t="s">
        <v>1513</v>
      </c>
      <c r="E4410" s="10" t="str">
        <f>"644020240513180035176346"</f>
        <v>644020240513180035176346</v>
      </c>
      <c r="F4410" s="9"/>
    </row>
    <row r="4411" s="2" customFormat="1" ht="30" customHeight="1" spans="1:6">
      <c r="A4411" s="9">
        <v>4408</v>
      </c>
      <c r="B4411" s="10" t="s">
        <v>3779</v>
      </c>
      <c r="C4411" s="10" t="s">
        <v>3780</v>
      </c>
      <c r="D4411" s="10" t="s">
        <v>4316</v>
      </c>
      <c r="E4411" s="10" t="str">
        <f>"644020240515131408181444"</f>
        <v>644020240515131408181444</v>
      </c>
      <c r="F4411" s="9"/>
    </row>
    <row r="4412" s="2" customFormat="1" ht="30" customHeight="1" spans="1:6">
      <c r="A4412" s="9">
        <v>4409</v>
      </c>
      <c r="B4412" s="10" t="s">
        <v>3779</v>
      </c>
      <c r="C4412" s="10" t="s">
        <v>3780</v>
      </c>
      <c r="D4412" s="10" t="s">
        <v>4317</v>
      </c>
      <c r="E4412" s="10" t="str">
        <f>"644020240515140320181518"</f>
        <v>644020240515140320181518</v>
      </c>
      <c r="F4412" s="9"/>
    </row>
    <row r="4413" s="2" customFormat="1" ht="30" customHeight="1" spans="1:6">
      <c r="A4413" s="9">
        <v>4410</v>
      </c>
      <c r="B4413" s="10" t="s">
        <v>3779</v>
      </c>
      <c r="C4413" s="10" t="s">
        <v>3780</v>
      </c>
      <c r="D4413" s="10" t="s">
        <v>4318</v>
      </c>
      <c r="E4413" s="10" t="str">
        <f>"644020240515112122181213"</f>
        <v>644020240515112122181213</v>
      </c>
      <c r="F4413" s="9"/>
    </row>
    <row r="4414" s="2" customFormat="1" ht="30" customHeight="1" spans="1:6">
      <c r="A4414" s="9">
        <v>4411</v>
      </c>
      <c r="B4414" s="10" t="s">
        <v>3779</v>
      </c>
      <c r="C4414" s="10" t="s">
        <v>3780</v>
      </c>
      <c r="D4414" s="10" t="s">
        <v>4319</v>
      </c>
      <c r="E4414" s="10" t="str">
        <f>"644020240513223520177386"</f>
        <v>644020240513223520177386</v>
      </c>
      <c r="F4414" s="9"/>
    </row>
    <row r="4415" s="2" customFormat="1" ht="30" customHeight="1" spans="1:6">
      <c r="A4415" s="9">
        <v>4412</v>
      </c>
      <c r="B4415" s="10" t="s">
        <v>3779</v>
      </c>
      <c r="C4415" s="10" t="s">
        <v>3780</v>
      </c>
      <c r="D4415" s="10" t="s">
        <v>4320</v>
      </c>
      <c r="E4415" s="10" t="str">
        <f>"644020240513124733174421"</f>
        <v>644020240513124733174421</v>
      </c>
      <c r="F4415" s="9"/>
    </row>
    <row r="4416" s="2" customFormat="1" ht="30" customHeight="1" spans="1:6">
      <c r="A4416" s="9">
        <v>4413</v>
      </c>
      <c r="B4416" s="10" t="s">
        <v>3779</v>
      </c>
      <c r="C4416" s="10" t="s">
        <v>3780</v>
      </c>
      <c r="D4416" s="10" t="s">
        <v>4321</v>
      </c>
      <c r="E4416" s="10" t="str">
        <f>"644020240513163408175960"</f>
        <v>644020240513163408175960</v>
      </c>
      <c r="F4416" s="9"/>
    </row>
    <row r="4417" s="2" customFormat="1" ht="30" customHeight="1" spans="1:6">
      <c r="A4417" s="9">
        <v>4414</v>
      </c>
      <c r="B4417" s="10" t="s">
        <v>3779</v>
      </c>
      <c r="C4417" s="10" t="s">
        <v>3780</v>
      </c>
      <c r="D4417" s="10" t="s">
        <v>4322</v>
      </c>
      <c r="E4417" s="10" t="str">
        <f>"644020240515101606180993"</f>
        <v>644020240515101606180993</v>
      </c>
      <c r="F4417" s="9"/>
    </row>
    <row r="4418" s="2" customFormat="1" ht="30" customHeight="1" spans="1:6">
      <c r="A4418" s="9">
        <v>4415</v>
      </c>
      <c r="B4418" s="10" t="s">
        <v>3779</v>
      </c>
      <c r="C4418" s="10" t="s">
        <v>3780</v>
      </c>
      <c r="D4418" s="10" t="s">
        <v>4323</v>
      </c>
      <c r="E4418" s="10" t="str">
        <f>"644020240513091845172684"</f>
        <v>644020240513091845172684</v>
      </c>
      <c r="F4418" s="9"/>
    </row>
    <row r="4419" s="2" customFormat="1" ht="30" customHeight="1" spans="1:6">
      <c r="A4419" s="9">
        <v>4416</v>
      </c>
      <c r="B4419" s="10" t="s">
        <v>3779</v>
      </c>
      <c r="C4419" s="10" t="s">
        <v>3780</v>
      </c>
      <c r="D4419" s="10" t="s">
        <v>4324</v>
      </c>
      <c r="E4419" s="10" t="str">
        <f>"644020240514100048178270"</f>
        <v>644020240514100048178270</v>
      </c>
      <c r="F4419" s="9"/>
    </row>
    <row r="4420" s="2" customFormat="1" ht="30" customHeight="1" spans="1:6">
      <c r="A4420" s="9">
        <v>4417</v>
      </c>
      <c r="B4420" s="10" t="s">
        <v>3779</v>
      </c>
      <c r="C4420" s="10" t="s">
        <v>3780</v>
      </c>
      <c r="D4420" s="10" t="s">
        <v>4325</v>
      </c>
      <c r="E4420" s="10" t="str">
        <f>"644020240515144500181589"</f>
        <v>644020240515144500181589</v>
      </c>
      <c r="F4420" s="9"/>
    </row>
    <row r="4421" s="2" customFormat="1" ht="30" customHeight="1" spans="1:6">
      <c r="A4421" s="9">
        <v>4418</v>
      </c>
      <c r="B4421" s="10" t="s">
        <v>3779</v>
      </c>
      <c r="C4421" s="10" t="s">
        <v>3780</v>
      </c>
      <c r="D4421" s="10" t="s">
        <v>4326</v>
      </c>
      <c r="E4421" s="10" t="str">
        <f>"644020240515150002181615"</f>
        <v>644020240515150002181615</v>
      </c>
      <c r="F4421" s="9"/>
    </row>
    <row r="4422" s="2" customFormat="1" ht="30" customHeight="1" spans="1:6">
      <c r="A4422" s="9">
        <v>4419</v>
      </c>
      <c r="B4422" s="10" t="s">
        <v>3779</v>
      </c>
      <c r="C4422" s="10" t="s">
        <v>3780</v>
      </c>
      <c r="D4422" s="10" t="s">
        <v>4327</v>
      </c>
      <c r="E4422" s="10" t="str">
        <f>"644020240515145748181613"</f>
        <v>644020240515145748181613</v>
      </c>
      <c r="F4422" s="9"/>
    </row>
    <row r="4423" s="2" customFormat="1" ht="30" customHeight="1" spans="1:6">
      <c r="A4423" s="9">
        <v>4420</v>
      </c>
      <c r="B4423" s="10" t="s">
        <v>3779</v>
      </c>
      <c r="C4423" s="10" t="s">
        <v>3780</v>
      </c>
      <c r="D4423" s="10" t="s">
        <v>4328</v>
      </c>
      <c r="E4423" s="10" t="str">
        <f>"644020240512100736168430"</f>
        <v>644020240512100736168430</v>
      </c>
      <c r="F4423" s="9"/>
    </row>
    <row r="4424" s="2" customFormat="1" ht="30" customHeight="1" spans="1:6">
      <c r="A4424" s="9">
        <v>4421</v>
      </c>
      <c r="B4424" s="10" t="s">
        <v>3779</v>
      </c>
      <c r="C4424" s="10" t="s">
        <v>3780</v>
      </c>
      <c r="D4424" s="10" t="s">
        <v>4329</v>
      </c>
      <c r="E4424" s="10" t="str">
        <f>"644020240515084359180727"</f>
        <v>644020240515084359180727</v>
      </c>
      <c r="F4424" s="9"/>
    </row>
    <row r="4425" s="2" customFormat="1" ht="30" customHeight="1" spans="1:6">
      <c r="A4425" s="9">
        <v>4422</v>
      </c>
      <c r="B4425" s="10" t="s">
        <v>3779</v>
      </c>
      <c r="C4425" s="10" t="s">
        <v>3780</v>
      </c>
      <c r="D4425" s="10" t="s">
        <v>4330</v>
      </c>
      <c r="E4425" s="10" t="str">
        <f>"644020240515151226181644"</f>
        <v>644020240515151226181644</v>
      </c>
      <c r="F4425" s="9"/>
    </row>
    <row r="4426" s="2" customFormat="1" ht="30" customHeight="1" spans="1:6">
      <c r="A4426" s="9">
        <v>4423</v>
      </c>
      <c r="B4426" s="10" t="s">
        <v>3779</v>
      </c>
      <c r="C4426" s="10" t="s">
        <v>3780</v>
      </c>
      <c r="D4426" s="10" t="s">
        <v>4331</v>
      </c>
      <c r="E4426" s="10" t="str">
        <f>"644020240515135253181508"</f>
        <v>644020240515135253181508</v>
      </c>
      <c r="F4426" s="9"/>
    </row>
    <row r="4427" s="2" customFormat="1" ht="30" customHeight="1" spans="1:6">
      <c r="A4427" s="9">
        <v>4424</v>
      </c>
      <c r="B4427" s="10" t="s">
        <v>3779</v>
      </c>
      <c r="C4427" s="10" t="s">
        <v>3780</v>
      </c>
      <c r="D4427" s="10" t="s">
        <v>4332</v>
      </c>
      <c r="E4427" s="10" t="str">
        <f>"644020240514115704178813"</f>
        <v>644020240514115704178813</v>
      </c>
      <c r="F4427" s="9"/>
    </row>
    <row r="4428" s="2" customFormat="1" ht="30" customHeight="1" spans="1:6">
      <c r="A4428" s="9">
        <v>4425</v>
      </c>
      <c r="B4428" s="10" t="s">
        <v>3779</v>
      </c>
      <c r="C4428" s="10" t="s">
        <v>3780</v>
      </c>
      <c r="D4428" s="10" t="s">
        <v>4333</v>
      </c>
      <c r="E4428" s="10" t="str">
        <f>"644020240513172031176191"</f>
        <v>644020240513172031176191</v>
      </c>
      <c r="F4428" s="9"/>
    </row>
    <row r="4429" s="2" customFormat="1" ht="30" customHeight="1" spans="1:6">
      <c r="A4429" s="9">
        <v>4426</v>
      </c>
      <c r="B4429" s="10" t="s">
        <v>3779</v>
      </c>
      <c r="C4429" s="10" t="s">
        <v>3780</v>
      </c>
      <c r="D4429" s="10" t="s">
        <v>4334</v>
      </c>
      <c r="E4429" s="10" t="str">
        <f>"644020240513092849172793"</f>
        <v>644020240513092849172793</v>
      </c>
      <c r="F4429" s="9"/>
    </row>
    <row r="4430" s="2" customFormat="1" ht="30" customHeight="1" spans="1:6">
      <c r="A4430" s="9">
        <v>4427</v>
      </c>
      <c r="B4430" s="10" t="s">
        <v>3779</v>
      </c>
      <c r="C4430" s="10" t="s">
        <v>3780</v>
      </c>
      <c r="D4430" s="10" t="s">
        <v>4335</v>
      </c>
      <c r="E4430" s="10" t="str">
        <f>"644020240515113459181260"</f>
        <v>644020240515113459181260</v>
      </c>
      <c r="F4430" s="9"/>
    </row>
    <row r="4431" s="2" customFormat="1" ht="30" customHeight="1" spans="1:6">
      <c r="A4431" s="9">
        <v>4428</v>
      </c>
      <c r="B4431" s="10" t="s">
        <v>3779</v>
      </c>
      <c r="C4431" s="10" t="s">
        <v>3780</v>
      </c>
      <c r="D4431" s="10" t="s">
        <v>4336</v>
      </c>
      <c r="E4431" s="10" t="str">
        <f>"644020240515142601181554"</f>
        <v>644020240515142601181554</v>
      </c>
      <c r="F4431" s="9"/>
    </row>
    <row r="4432" s="2" customFormat="1" ht="30" customHeight="1" spans="1:6">
      <c r="A4432" s="9">
        <v>4429</v>
      </c>
      <c r="B4432" s="10" t="s">
        <v>3779</v>
      </c>
      <c r="C4432" s="10" t="s">
        <v>3780</v>
      </c>
      <c r="D4432" s="10" t="s">
        <v>4337</v>
      </c>
      <c r="E4432" s="10" t="str">
        <f>"644020240515154736181742"</f>
        <v>644020240515154736181742</v>
      </c>
      <c r="F4432" s="9"/>
    </row>
    <row r="4433" s="2" customFormat="1" ht="30" customHeight="1" spans="1:6">
      <c r="A4433" s="9">
        <v>4430</v>
      </c>
      <c r="B4433" s="10" t="s">
        <v>3779</v>
      </c>
      <c r="C4433" s="10" t="s">
        <v>3780</v>
      </c>
      <c r="D4433" s="10" t="s">
        <v>4338</v>
      </c>
      <c r="E4433" s="10" t="str">
        <f>"644020240514233202180523"</f>
        <v>644020240514233202180523</v>
      </c>
      <c r="F4433" s="9"/>
    </row>
    <row r="4434" s="2" customFormat="1" ht="30" customHeight="1" spans="1:6">
      <c r="A4434" s="9">
        <v>4431</v>
      </c>
      <c r="B4434" s="10" t="s">
        <v>3779</v>
      </c>
      <c r="C4434" s="10" t="s">
        <v>3780</v>
      </c>
      <c r="D4434" s="10" t="s">
        <v>4339</v>
      </c>
      <c r="E4434" s="10" t="str">
        <f>"644020240515161226181814"</f>
        <v>644020240515161226181814</v>
      </c>
      <c r="F4434" s="9"/>
    </row>
    <row r="4435" s="2" customFormat="1" ht="30" customHeight="1" spans="1:6">
      <c r="A4435" s="9">
        <v>4432</v>
      </c>
      <c r="B4435" s="10" t="s">
        <v>3779</v>
      </c>
      <c r="C4435" s="10" t="s">
        <v>3780</v>
      </c>
      <c r="D4435" s="10" t="s">
        <v>4340</v>
      </c>
      <c r="E4435" s="10" t="str">
        <f>"644020240513085538172445"</f>
        <v>644020240513085538172445</v>
      </c>
      <c r="F4435" s="9"/>
    </row>
    <row r="4436" s="2" customFormat="1" ht="30" customHeight="1" spans="1:6">
      <c r="A4436" s="9">
        <v>4433</v>
      </c>
      <c r="B4436" s="10" t="s">
        <v>3779</v>
      </c>
      <c r="C4436" s="10" t="s">
        <v>3780</v>
      </c>
      <c r="D4436" s="10" t="s">
        <v>4341</v>
      </c>
      <c r="E4436" s="10" t="str">
        <f>"644020240515162127181835"</f>
        <v>644020240515162127181835</v>
      </c>
      <c r="F4436" s="9"/>
    </row>
    <row r="4437" s="2" customFormat="1" ht="30" customHeight="1" spans="1:6">
      <c r="A4437" s="9">
        <v>4434</v>
      </c>
      <c r="B4437" s="10" t="s">
        <v>3779</v>
      </c>
      <c r="C4437" s="10" t="s">
        <v>3780</v>
      </c>
      <c r="D4437" s="10" t="s">
        <v>4342</v>
      </c>
      <c r="E4437" s="10" t="str">
        <f>"644020240515103237181057"</f>
        <v>644020240515103237181057</v>
      </c>
      <c r="F4437" s="9"/>
    </row>
    <row r="4438" s="2" customFormat="1" ht="30" customHeight="1" spans="1:6">
      <c r="A4438" s="9">
        <v>4435</v>
      </c>
      <c r="B4438" s="10" t="s">
        <v>3779</v>
      </c>
      <c r="C4438" s="10" t="s">
        <v>3780</v>
      </c>
      <c r="D4438" s="10" t="s">
        <v>4343</v>
      </c>
      <c r="E4438" s="10" t="str">
        <f>"644020240513090614172553"</f>
        <v>644020240513090614172553</v>
      </c>
      <c r="F4438" s="9"/>
    </row>
    <row r="4439" s="2" customFormat="1" ht="30" customHeight="1" spans="1:6">
      <c r="A4439" s="9">
        <v>4436</v>
      </c>
      <c r="B4439" s="10" t="s">
        <v>3779</v>
      </c>
      <c r="C4439" s="10" t="s">
        <v>3780</v>
      </c>
      <c r="D4439" s="10" t="s">
        <v>4344</v>
      </c>
      <c r="E4439" s="10" t="str">
        <f>"644020240513094733172985"</f>
        <v>644020240513094733172985</v>
      </c>
      <c r="F4439" s="9"/>
    </row>
    <row r="4440" s="2" customFormat="1" ht="30" customHeight="1" spans="1:6">
      <c r="A4440" s="9">
        <v>4437</v>
      </c>
      <c r="B4440" s="10" t="s">
        <v>3779</v>
      </c>
      <c r="C4440" s="10" t="s">
        <v>3780</v>
      </c>
      <c r="D4440" s="10" t="s">
        <v>4345</v>
      </c>
      <c r="E4440" s="10" t="str">
        <f>"644020240515161356181819"</f>
        <v>644020240515161356181819</v>
      </c>
      <c r="F4440" s="9"/>
    </row>
    <row r="4441" s="2" customFormat="1" ht="30" customHeight="1" spans="1:6">
      <c r="A4441" s="9">
        <v>4438</v>
      </c>
      <c r="B4441" s="10" t="s">
        <v>3779</v>
      </c>
      <c r="C4441" s="10" t="s">
        <v>3780</v>
      </c>
      <c r="D4441" s="10" t="s">
        <v>4346</v>
      </c>
      <c r="E4441" s="10" t="str">
        <f>"644020240515151933181668"</f>
        <v>644020240515151933181668</v>
      </c>
      <c r="F4441" s="9"/>
    </row>
    <row r="4442" s="2" customFormat="1" ht="30" customHeight="1" spans="1:6">
      <c r="A4442" s="9">
        <v>4439</v>
      </c>
      <c r="B4442" s="10" t="s">
        <v>3779</v>
      </c>
      <c r="C4442" s="10" t="s">
        <v>3780</v>
      </c>
      <c r="D4442" s="10" t="s">
        <v>4347</v>
      </c>
      <c r="E4442" s="10" t="str">
        <f>"644020240514130902178982"</f>
        <v>644020240514130902178982</v>
      </c>
      <c r="F4442" s="9"/>
    </row>
    <row r="4443" s="2" customFormat="1" ht="30" customHeight="1" spans="1:6">
      <c r="A4443" s="9">
        <v>4440</v>
      </c>
      <c r="B4443" s="10" t="s">
        <v>3779</v>
      </c>
      <c r="C4443" s="10" t="s">
        <v>3780</v>
      </c>
      <c r="D4443" s="10" t="s">
        <v>4348</v>
      </c>
      <c r="E4443" s="10" t="str">
        <f>"644020240515164343181909"</f>
        <v>644020240515164343181909</v>
      </c>
      <c r="F4443" s="9"/>
    </row>
    <row r="4444" s="2" customFormat="1" ht="30" customHeight="1" spans="1:6">
      <c r="A4444" s="9">
        <v>4441</v>
      </c>
      <c r="B4444" s="10" t="s">
        <v>3779</v>
      </c>
      <c r="C4444" s="10" t="s">
        <v>3780</v>
      </c>
      <c r="D4444" s="10" t="s">
        <v>4349</v>
      </c>
      <c r="E4444" s="10" t="str">
        <f>"644020240515160642181799"</f>
        <v>644020240515160642181799</v>
      </c>
      <c r="F4444" s="9"/>
    </row>
    <row r="4445" s="2" customFormat="1" ht="30" customHeight="1" spans="1:6">
      <c r="A4445" s="9">
        <v>4442</v>
      </c>
      <c r="B4445" s="10" t="s">
        <v>3779</v>
      </c>
      <c r="C4445" s="10" t="s">
        <v>3780</v>
      </c>
      <c r="D4445" s="10" t="s">
        <v>4350</v>
      </c>
      <c r="E4445" s="10" t="str">
        <f>"644020240515164807181925"</f>
        <v>644020240515164807181925</v>
      </c>
      <c r="F4445" s="9"/>
    </row>
    <row r="4446" s="2" customFormat="1" ht="30" customHeight="1" spans="1:6">
      <c r="A4446" s="9">
        <v>4443</v>
      </c>
      <c r="B4446" s="10" t="s">
        <v>3779</v>
      </c>
      <c r="C4446" s="10" t="s">
        <v>3780</v>
      </c>
      <c r="D4446" s="10" t="s">
        <v>4351</v>
      </c>
      <c r="E4446" s="10" t="str">
        <f>"644020240515170229181964"</f>
        <v>644020240515170229181964</v>
      </c>
      <c r="F4446" s="9"/>
    </row>
    <row r="4447" s="2" customFormat="1" ht="30" customHeight="1" spans="1:6">
      <c r="A4447" s="9">
        <v>4444</v>
      </c>
      <c r="B4447" s="10" t="s">
        <v>3779</v>
      </c>
      <c r="C4447" s="10" t="s">
        <v>3780</v>
      </c>
      <c r="D4447" s="10" t="s">
        <v>4352</v>
      </c>
      <c r="E4447" s="10" t="str">
        <f>"644020240514170330179620"</f>
        <v>644020240514170330179620</v>
      </c>
      <c r="F4447" s="9"/>
    </row>
    <row r="4448" s="2" customFormat="1" ht="30" customHeight="1" spans="1:6">
      <c r="A4448" s="9">
        <v>4445</v>
      </c>
      <c r="B4448" s="10" t="s">
        <v>3779</v>
      </c>
      <c r="C4448" s="10" t="s">
        <v>3780</v>
      </c>
      <c r="D4448" s="10" t="s">
        <v>4353</v>
      </c>
      <c r="E4448" s="10" t="str">
        <f>"644020240515135022181502"</f>
        <v>644020240515135022181502</v>
      </c>
      <c r="F4448" s="9"/>
    </row>
    <row r="4449" s="2" customFormat="1" ht="30" customHeight="1" spans="1:6">
      <c r="A4449" s="9">
        <v>4446</v>
      </c>
      <c r="B4449" s="10" t="s">
        <v>3779</v>
      </c>
      <c r="C4449" s="10" t="s">
        <v>3780</v>
      </c>
      <c r="D4449" s="10" t="s">
        <v>4354</v>
      </c>
      <c r="E4449" s="10" t="str">
        <f>"644020240515164909181926"</f>
        <v>644020240515164909181926</v>
      </c>
      <c r="F4449" s="9"/>
    </row>
    <row r="4450" s="2" customFormat="1" ht="30" customHeight="1" spans="1:6">
      <c r="A4450" s="9">
        <v>4447</v>
      </c>
      <c r="B4450" s="10" t="s">
        <v>3779</v>
      </c>
      <c r="C4450" s="10" t="s">
        <v>3780</v>
      </c>
      <c r="D4450" s="10" t="s">
        <v>4355</v>
      </c>
      <c r="E4450" s="10" t="str">
        <f>"644020240513115801174127"</f>
        <v>644020240513115801174127</v>
      </c>
      <c r="F4450" s="9"/>
    </row>
    <row r="4451" s="2" customFormat="1" ht="30" customHeight="1" spans="1:6">
      <c r="A4451" s="9">
        <v>4448</v>
      </c>
      <c r="B4451" s="10" t="s">
        <v>3779</v>
      </c>
      <c r="C4451" s="10" t="s">
        <v>3780</v>
      </c>
      <c r="D4451" s="10" t="s">
        <v>4356</v>
      </c>
      <c r="E4451" s="10" t="str">
        <f>"644020240515164317181907"</f>
        <v>644020240515164317181907</v>
      </c>
      <c r="F4451" s="9"/>
    </row>
    <row r="4452" s="2" customFormat="1" ht="30" customHeight="1" spans="1:6">
      <c r="A4452" s="9">
        <v>4449</v>
      </c>
      <c r="B4452" s="10" t="s">
        <v>3779</v>
      </c>
      <c r="C4452" s="10" t="s">
        <v>3780</v>
      </c>
      <c r="D4452" s="10" t="s">
        <v>4357</v>
      </c>
      <c r="E4452" s="10" t="str">
        <f>"644020240515170046181956"</f>
        <v>644020240515170046181956</v>
      </c>
      <c r="F4452" s="9"/>
    </row>
    <row r="4453" s="2" customFormat="1" ht="30" customHeight="1" spans="1:6">
      <c r="A4453" s="9">
        <v>4450</v>
      </c>
      <c r="B4453" s="10" t="s">
        <v>3779</v>
      </c>
      <c r="C4453" s="10" t="s">
        <v>3780</v>
      </c>
      <c r="D4453" s="10" t="s">
        <v>4358</v>
      </c>
      <c r="E4453" s="10" t="str">
        <f>"644020240515161102181811"</f>
        <v>644020240515161102181811</v>
      </c>
      <c r="F4453" s="9"/>
    </row>
    <row r="4454" s="2" customFormat="1" ht="30" customHeight="1" spans="1:6">
      <c r="A4454" s="9">
        <v>4451</v>
      </c>
      <c r="B4454" s="10" t="s">
        <v>3779</v>
      </c>
      <c r="C4454" s="10" t="s">
        <v>3780</v>
      </c>
      <c r="D4454" s="10" t="s">
        <v>4359</v>
      </c>
      <c r="E4454" s="10" t="str">
        <f>"644020240515155256181758"</f>
        <v>644020240515155256181758</v>
      </c>
      <c r="F4454" s="9"/>
    </row>
    <row r="4455" s="2" customFormat="1" ht="30" customHeight="1" spans="1:6">
      <c r="A4455" s="9">
        <v>4452</v>
      </c>
      <c r="B4455" s="10" t="s">
        <v>3779</v>
      </c>
      <c r="C4455" s="10" t="s">
        <v>3780</v>
      </c>
      <c r="D4455" s="10" t="s">
        <v>4360</v>
      </c>
      <c r="E4455" s="10" t="str">
        <f>"644020240514131402178993"</f>
        <v>644020240514131402178993</v>
      </c>
      <c r="F4455" s="9"/>
    </row>
    <row r="4456" s="2" customFormat="1" ht="30" customHeight="1" spans="1:6">
      <c r="A4456" s="9">
        <v>4453</v>
      </c>
      <c r="B4456" s="10" t="s">
        <v>3779</v>
      </c>
      <c r="C4456" s="10" t="s">
        <v>3780</v>
      </c>
      <c r="D4456" s="10" t="s">
        <v>4361</v>
      </c>
      <c r="E4456" s="10" t="str">
        <f>"644020240513164403176015"</f>
        <v>644020240513164403176015</v>
      </c>
      <c r="F4456" s="9"/>
    </row>
    <row r="4457" s="2" customFormat="1" ht="30" customHeight="1" spans="1:6">
      <c r="A4457" s="9">
        <v>4454</v>
      </c>
      <c r="B4457" s="10" t="s">
        <v>3779</v>
      </c>
      <c r="C4457" s="10" t="s">
        <v>3780</v>
      </c>
      <c r="D4457" s="10" t="s">
        <v>4362</v>
      </c>
      <c r="E4457" s="10" t="str">
        <f>"644020240515051459180634"</f>
        <v>644020240515051459180634</v>
      </c>
      <c r="F4457" s="9"/>
    </row>
    <row r="4458" s="2" customFormat="1" ht="30" customHeight="1" spans="1:6">
      <c r="A4458" s="9">
        <v>4455</v>
      </c>
      <c r="B4458" s="10" t="s">
        <v>3779</v>
      </c>
      <c r="C4458" s="10" t="s">
        <v>3780</v>
      </c>
      <c r="D4458" s="10" t="s">
        <v>4363</v>
      </c>
      <c r="E4458" s="10" t="str">
        <f>"644020240515115027181296"</f>
        <v>644020240515115027181296</v>
      </c>
      <c r="F4458" s="9"/>
    </row>
    <row r="4459" s="2" customFormat="1" ht="30" customHeight="1" spans="1:6">
      <c r="A4459" s="9">
        <v>4456</v>
      </c>
      <c r="B4459" s="10" t="s">
        <v>3779</v>
      </c>
      <c r="C4459" s="10" t="s">
        <v>3780</v>
      </c>
      <c r="D4459" s="10" t="s">
        <v>4364</v>
      </c>
      <c r="E4459" s="10" t="str">
        <f>"644020240515170516181970"</f>
        <v>644020240515170516181970</v>
      </c>
      <c r="F4459" s="9"/>
    </row>
    <row r="4460" s="2" customFormat="1" ht="30" customHeight="1" spans="1:6">
      <c r="A4460" s="9">
        <v>4457</v>
      </c>
      <c r="B4460" s="10" t="s">
        <v>3779</v>
      </c>
      <c r="C4460" s="10" t="s">
        <v>3780</v>
      </c>
      <c r="D4460" s="10" t="s">
        <v>4365</v>
      </c>
      <c r="E4460" s="10" t="str">
        <f>"644020240515171724181988"</f>
        <v>644020240515171724181988</v>
      </c>
      <c r="F4460" s="9"/>
    </row>
    <row r="4461" s="2" customFormat="1" ht="30" customHeight="1" spans="1:6">
      <c r="A4461" s="9">
        <v>4458</v>
      </c>
      <c r="B4461" s="10" t="s">
        <v>3779</v>
      </c>
      <c r="C4461" s="10" t="s">
        <v>3780</v>
      </c>
      <c r="D4461" s="10" t="s">
        <v>4366</v>
      </c>
      <c r="E4461" s="10" t="str">
        <f>"644020240515172311182001"</f>
        <v>644020240515172311182001</v>
      </c>
      <c r="F4461" s="9"/>
    </row>
    <row r="4462" s="2" customFormat="1" ht="30" customHeight="1" spans="1:6">
      <c r="A4462" s="9">
        <v>4459</v>
      </c>
      <c r="B4462" s="10" t="s">
        <v>3779</v>
      </c>
      <c r="C4462" s="10" t="s">
        <v>3780</v>
      </c>
      <c r="D4462" s="10" t="s">
        <v>4367</v>
      </c>
      <c r="E4462" s="10" t="str">
        <f>"644020240515170240181965"</f>
        <v>644020240515170240181965</v>
      </c>
      <c r="F4462" s="9"/>
    </row>
    <row r="4463" s="2" customFormat="1" ht="30" customHeight="1" spans="1:6">
      <c r="A4463" s="9">
        <v>4460</v>
      </c>
      <c r="B4463" s="10" t="s">
        <v>3779</v>
      </c>
      <c r="C4463" s="10" t="s">
        <v>3780</v>
      </c>
      <c r="D4463" s="10" t="s">
        <v>4368</v>
      </c>
      <c r="E4463" s="10" t="str">
        <f>"644020240512113910168933"</f>
        <v>644020240512113910168933</v>
      </c>
      <c r="F4463" s="9"/>
    </row>
    <row r="4464" s="2" customFormat="1" ht="30" customHeight="1" spans="1:6">
      <c r="A4464" s="9">
        <v>4461</v>
      </c>
      <c r="B4464" s="10" t="s">
        <v>3779</v>
      </c>
      <c r="C4464" s="10" t="s">
        <v>3780</v>
      </c>
      <c r="D4464" s="10" t="s">
        <v>4369</v>
      </c>
      <c r="E4464" s="10" t="str">
        <f>"644020240515174222182022"</f>
        <v>644020240515174222182022</v>
      </c>
      <c r="F4464" s="9"/>
    </row>
    <row r="4465" s="2" customFormat="1" ht="30" customHeight="1" spans="1:6">
      <c r="A4465" s="9">
        <v>4462</v>
      </c>
      <c r="B4465" s="10" t="s">
        <v>3779</v>
      </c>
      <c r="C4465" s="10" t="s">
        <v>3780</v>
      </c>
      <c r="D4465" s="10" t="s">
        <v>4370</v>
      </c>
      <c r="E4465" s="10" t="str">
        <f>"644020240515163822181886"</f>
        <v>644020240515163822181886</v>
      </c>
      <c r="F4465" s="9"/>
    </row>
    <row r="4466" s="2" customFormat="1" ht="30" customHeight="1" spans="1:6">
      <c r="A4466" s="9">
        <v>4463</v>
      </c>
      <c r="B4466" s="10" t="s">
        <v>3779</v>
      </c>
      <c r="C4466" s="10" t="s">
        <v>3780</v>
      </c>
      <c r="D4466" s="10" t="s">
        <v>4371</v>
      </c>
      <c r="E4466" s="10" t="str">
        <f>"644020240512091941168197"</f>
        <v>644020240512091941168197</v>
      </c>
      <c r="F4466" s="9"/>
    </row>
    <row r="4467" s="2" customFormat="1" ht="30" customHeight="1" spans="1:6">
      <c r="A4467" s="9">
        <v>4464</v>
      </c>
      <c r="B4467" s="10" t="s">
        <v>3779</v>
      </c>
      <c r="C4467" s="10" t="s">
        <v>3780</v>
      </c>
      <c r="D4467" s="10" t="s">
        <v>4372</v>
      </c>
      <c r="E4467" s="10" t="str">
        <f>"644020240515161648181822"</f>
        <v>644020240515161648181822</v>
      </c>
      <c r="F4467" s="9"/>
    </row>
    <row r="4468" s="2" customFormat="1" ht="30" customHeight="1" spans="1:6">
      <c r="A4468" s="9">
        <v>4465</v>
      </c>
      <c r="B4468" s="10" t="s">
        <v>3779</v>
      </c>
      <c r="C4468" s="10" t="s">
        <v>3780</v>
      </c>
      <c r="D4468" s="10" t="s">
        <v>4373</v>
      </c>
      <c r="E4468" s="10" t="str">
        <f>"644020240515174925182035"</f>
        <v>644020240515174925182035</v>
      </c>
      <c r="F4468" s="9"/>
    </row>
    <row r="4469" s="2" customFormat="1" ht="30" customHeight="1" spans="1:6">
      <c r="A4469" s="9">
        <v>4466</v>
      </c>
      <c r="B4469" s="10" t="s">
        <v>3779</v>
      </c>
      <c r="C4469" s="10" t="s">
        <v>3780</v>
      </c>
      <c r="D4469" s="10" t="s">
        <v>4374</v>
      </c>
      <c r="E4469" s="10" t="str">
        <f>"644020240515164524181919"</f>
        <v>644020240515164524181919</v>
      </c>
      <c r="F4469" s="9"/>
    </row>
    <row r="4470" s="2" customFormat="1" ht="30" customHeight="1" spans="1:6">
      <c r="A4470" s="9">
        <v>4467</v>
      </c>
      <c r="B4470" s="10" t="s">
        <v>3779</v>
      </c>
      <c r="C4470" s="10" t="s">
        <v>3780</v>
      </c>
      <c r="D4470" s="10" t="s">
        <v>4375</v>
      </c>
      <c r="E4470" s="10" t="str">
        <f>"644020240515174948182036"</f>
        <v>644020240515174948182036</v>
      </c>
      <c r="F4470" s="9"/>
    </row>
    <row r="4471" s="2" customFormat="1" ht="30" customHeight="1" spans="1:6">
      <c r="A4471" s="9">
        <v>4468</v>
      </c>
      <c r="B4471" s="10" t="s">
        <v>3779</v>
      </c>
      <c r="C4471" s="10" t="s">
        <v>3780</v>
      </c>
      <c r="D4471" s="10" t="s">
        <v>4376</v>
      </c>
      <c r="E4471" s="10" t="str">
        <f>"644020240513144836175098"</f>
        <v>644020240513144836175098</v>
      </c>
      <c r="F4471" s="9"/>
    </row>
    <row r="4472" s="2" customFormat="1" ht="30" customHeight="1" spans="1:6">
      <c r="A4472" s="9">
        <v>4469</v>
      </c>
      <c r="B4472" s="10" t="s">
        <v>3779</v>
      </c>
      <c r="C4472" s="10" t="s">
        <v>3780</v>
      </c>
      <c r="D4472" s="10" t="s">
        <v>4377</v>
      </c>
      <c r="E4472" s="10" t="str">
        <f>"644020240515155147181755"</f>
        <v>644020240515155147181755</v>
      </c>
      <c r="F4472" s="9"/>
    </row>
    <row r="4473" s="2" customFormat="1" ht="30" customHeight="1" spans="1:6">
      <c r="A4473" s="9">
        <v>4470</v>
      </c>
      <c r="B4473" s="10" t="s">
        <v>3779</v>
      </c>
      <c r="C4473" s="10" t="s">
        <v>3780</v>
      </c>
      <c r="D4473" s="10" t="s">
        <v>4378</v>
      </c>
      <c r="E4473" s="10" t="str">
        <f>"644020240515174958182037"</f>
        <v>644020240515174958182037</v>
      </c>
      <c r="F4473" s="9"/>
    </row>
    <row r="4474" s="2" customFormat="1" ht="30" customHeight="1" spans="1:6">
      <c r="A4474" s="9">
        <v>4471</v>
      </c>
      <c r="B4474" s="10" t="s">
        <v>3779</v>
      </c>
      <c r="C4474" s="10" t="s">
        <v>3780</v>
      </c>
      <c r="D4474" s="10" t="s">
        <v>4379</v>
      </c>
      <c r="E4474" s="10" t="str">
        <f>"644020240514220956180318"</f>
        <v>644020240514220956180318</v>
      </c>
      <c r="F4474" s="9"/>
    </row>
    <row r="4475" s="2" customFormat="1" ht="30" customHeight="1" spans="1:6">
      <c r="A4475" s="9">
        <v>4472</v>
      </c>
      <c r="B4475" s="10" t="s">
        <v>3779</v>
      </c>
      <c r="C4475" s="10" t="s">
        <v>3780</v>
      </c>
      <c r="D4475" s="10" t="s">
        <v>4380</v>
      </c>
      <c r="E4475" s="10" t="str">
        <f>"644020240515180501182067"</f>
        <v>644020240515180501182067</v>
      </c>
      <c r="F4475" s="9"/>
    </row>
    <row r="4476" s="2" customFormat="1" ht="30" customHeight="1" spans="1:6">
      <c r="A4476" s="9">
        <v>4473</v>
      </c>
      <c r="B4476" s="10" t="s">
        <v>3779</v>
      </c>
      <c r="C4476" s="10" t="s">
        <v>3780</v>
      </c>
      <c r="D4476" s="10" t="s">
        <v>4381</v>
      </c>
      <c r="E4476" s="10" t="str">
        <f>"644020240515180423182065"</f>
        <v>644020240515180423182065</v>
      </c>
      <c r="F4476" s="9"/>
    </row>
    <row r="4477" s="2" customFormat="1" ht="30" customHeight="1" spans="1:6">
      <c r="A4477" s="9">
        <v>4474</v>
      </c>
      <c r="B4477" s="10" t="s">
        <v>3779</v>
      </c>
      <c r="C4477" s="10" t="s">
        <v>3780</v>
      </c>
      <c r="D4477" s="10" t="s">
        <v>3827</v>
      </c>
      <c r="E4477" s="10" t="str">
        <f>"644020240514090430177988"</f>
        <v>644020240514090430177988</v>
      </c>
      <c r="F4477" s="9"/>
    </row>
    <row r="4478" s="2" customFormat="1" ht="30" customHeight="1" spans="1:6">
      <c r="A4478" s="9">
        <v>4475</v>
      </c>
      <c r="B4478" s="10" t="s">
        <v>3779</v>
      </c>
      <c r="C4478" s="10" t="s">
        <v>3780</v>
      </c>
      <c r="D4478" s="10" t="s">
        <v>4382</v>
      </c>
      <c r="E4478" s="10" t="str">
        <f>"644020240514205653180100"</f>
        <v>644020240514205653180100</v>
      </c>
      <c r="F4478" s="9"/>
    </row>
    <row r="4479" s="2" customFormat="1" ht="30" customHeight="1" spans="1:6">
      <c r="A4479" s="9">
        <v>4476</v>
      </c>
      <c r="B4479" s="10" t="s">
        <v>3779</v>
      </c>
      <c r="C4479" s="10" t="s">
        <v>3780</v>
      </c>
      <c r="D4479" s="10" t="s">
        <v>4383</v>
      </c>
      <c r="E4479" s="10" t="str">
        <f>"644020240512172208170185"</f>
        <v>644020240512172208170185</v>
      </c>
      <c r="F4479" s="9"/>
    </row>
    <row r="4480" s="2" customFormat="1" ht="30" customHeight="1" spans="1:6">
      <c r="A4480" s="9">
        <v>4477</v>
      </c>
      <c r="B4480" s="10" t="s">
        <v>3779</v>
      </c>
      <c r="C4480" s="10" t="s">
        <v>3780</v>
      </c>
      <c r="D4480" s="10" t="s">
        <v>4384</v>
      </c>
      <c r="E4480" s="10" t="str">
        <f>"644020240513222222177337"</f>
        <v>644020240513222222177337</v>
      </c>
      <c r="F4480" s="9"/>
    </row>
    <row r="4481" s="2" customFormat="1" ht="30" customHeight="1" spans="1:6">
      <c r="A4481" s="9">
        <v>4478</v>
      </c>
      <c r="B4481" s="10" t="s">
        <v>3779</v>
      </c>
      <c r="C4481" s="10" t="s">
        <v>3780</v>
      </c>
      <c r="D4481" s="10" t="s">
        <v>4385</v>
      </c>
      <c r="E4481" s="10" t="str">
        <f>"644020240515184627182119"</f>
        <v>644020240515184627182119</v>
      </c>
      <c r="F4481" s="9"/>
    </row>
    <row r="4482" s="2" customFormat="1" ht="30" customHeight="1" spans="1:6">
      <c r="A4482" s="9">
        <v>4479</v>
      </c>
      <c r="B4482" s="10" t="s">
        <v>3779</v>
      </c>
      <c r="C4482" s="10" t="s">
        <v>3780</v>
      </c>
      <c r="D4482" s="10" t="s">
        <v>4386</v>
      </c>
      <c r="E4482" s="10" t="str">
        <f>"644020240514101358178330"</f>
        <v>644020240514101358178330</v>
      </c>
      <c r="F4482" s="9"/>
    </row>
    <row r="4483" s="2" customFormat="1" ht="30" customHeight="1" spans="1:6">
      <c r="A4483" s="9">
        <v>4480</v>
      </c>
      <c r="B4483" s="10" t="s">
        <v>3779</v>
      </c>
      <c r="C4483" s="10" t="s">
        <v>3780</v>
      </c>
      <c r="D4483" s="10" t="s">
        <v>4387</v>
      </c>
      <c r="E4483" s="10" t="str">
        <f>"644020240515184438182116"</f>
        <v>644020240515184438182116</v>
      </c>
      <c r="F4483" s="9"/>
    </row>
    <row r="4484" s="2" customFormat="1" ht="30" customHeight="1" spans="1:6">
      <c r="A4484" s="9">
        <v>4481</v>
      </c>
      <c r="B4484" s="10" t="s">
        <v>3779</v>
      </c>
      <c r="C4484" s="10" t="s">
        <v>3780</v>
      </c>
      <c r="D4484" s="10" t="s">
        <v>4388</v>
      </c>
      <c r="E4484" s="10" t="str">
        <f>"644020240515173845182016"</f>
        <v>644020240515173845182016</v>
      </c>
      <c r="F4484" s="9"/>
    </row>
    <row r="4485" s="2" customFormat="1" ht="30" customHeight="1" spans="1:6">
      <c r="A4485" s="9">
        <v>4482</v>
      </c>
      <c r="B4485" s="10" t="s">
        <v>3779</v>
      </c>
      <c r="C4485" s="10" t="s">
        <v>3780</v>
      </c>
      <c r="D4485" s="10" t="s">
        <v>4389</v>
      </c>
      <c r="E4485" s="10" t="str">
        <f>"644020240515190414182137"</f>
        <v>644020240515190414182137</v>
      </c>
      <c r="F4485" s="9"/>
    </row>
    <row r="4486" s="2" customFormat="1" ht="30" customHeight="1" spans="1:6">
      <c r="A4486" s="9">
        <v>4483</v>
      </c>
      <c r="B4486" s="10" t="s">
        <v>3779</v>
      </c>
      <c r="C4486" s="10" t="s">
        <v>3780</v>
      </c>
      <c r="D4486" s="10" t="s">
        <v>4390</v>
      </c>
      <c r="E4486" s="10" t="str">
        <f>"644020240515190543182142"</f>
        <v>644020240515190543182142</v>
      </c>
      <c r="F4486" s="9"/>
    </row>
    <row r="4487" s="2" customFormat="1" ht="30" customHeight="1" spans="1:6">
      <c r="A4487" s="9">
        <v>4484</v>
      </c>
      <c r="B4487" s="10" t="s">
        <v>3779</v>
      </c>
      <c r="C4487" s="10" t="s">
        <v>3780</v>
      </c>
      <c r="D4487" s="10" t="s">
        <v>300</v>
      </c>
      <c r="E4487" s="10" t="str">
        <f>"644020240515191502182149"</f>
        <v>644020240515191502182149</v>
      </c>
      <c r="F4487" s="9"/>
    </row>
    <row r="4488" s="2" customFormat="1" ht="30" customHeight="1" spans="1:6">
      <c r="A4488" s="9">
        <v>4485</v>
      </c>
      <c r="B4488" s="10" t="s">
        <v>3779</v>
      </c>
      <c r="C4488" s="10" t="s">
        <v>3780</v>
      </c>
      <c r="D4488" s="10" t="s">
        <v>4391</v>
      </c>
      <c r="E4488" s="10" t="str">
        <f>"644020240513173838176271"</f>
        <v>644020240513173838176271</v>
      </c>
      <c r="F4488" s="9"/>
    </row>
    <row r="4489" s="2" customFormat="1" ht="30" customHeight="1" spans="1:6">
      <c r="A4489" s="9">
        <v>4486</v>
      </c>
      <c r="B4489" s="10" t="s">
        <v>3779</v>
      </c>
      <c r="C4489" s="10" t="s">
        <v>3780</v>
      </c>
      <c r="D4489" s="10" t="s">
        <v>4392</v>
      </c>
      <c r="E4489" s="10" t="str">
        <f>"644020240515184016182106"</f>
        <v>644020240515184016182106</v>
      </c>
      <c r="F4489" s="9"/>
    </row>
    <row r="4490" s="2" customFormat="1" ht="30" customHeight="1" spans="1:6">
      <c r="A4490" s="9">
        <v>4487</v>
      </c>
      <c r="B4490" s="10" t="s">
        <v>3779</v>
      </c>
      <c r="C4490" s="10" t="s">
        <v>3780</v>
      </c>
      <c r="D4490" s="10" t="s">
        <v>4393</v>
      </c>
      <c r="E4490" s="10" t="str">
        <f>"644020240515192437182164"</f>
        <v>644020240515192437182164</v>
      </c>
      <c r="F4490" s="9"/>
    </row>
    <row r="4491" s="2" customFormat="1" ht="30" customHeight="1" spans="1:6">
      <c r="A4491" s="9">
        <v>4488</v>
      </c>
      <c r="B4491" s="10" t="s">
        <v>3779</v>
      </c>
      <c r="C4491" s="10" t="s">
        <v>3780</v>
      </c>
      <c r="D4491" s="10" t="s">
        <v>4394</v>
      </c>
      <c r="E4491" s="10" t="str">
        <f>"644020240515162930181855"</f>
        <v>644020240515162930181855</v>
      </c>
      <c r="F4491" s="9"/>
    </row>
    <row r="4492" s="2" customFormat="1" ht="30" customHeight="1" spans="1:6">
      <c r="A4492" s="9">
        <v>4489</v>
      </c>
      <c r="B4492" s="10" t="s">
        <v>3779</v>
      </c>
      <c r="C4492" s="10" t="s">
        <v>3780</v>
      </c>
      <c r="D4492" s="10" t="s">
        <v>4395</v>
      </c>
      <c r="E4492" s="10" t="str">
        <f>"644020240512111634168808"</f>
        <v>644020240512111634168808</v>
      </c>
      <c r="F4492" s="9"/>
    </row>
    <row r="4493" s="2" customFormat="1" ht="30" customHeight="1" spans="1:6">
      <c r="A4493" s="9">
        <v>4490</v>
      </c>
      <c r="B4493" s="10" t="s">
        <v>3779</v>
      </c>
      <c r="C4493" s="10" t="s">
        <v>3780</v>
      </c>
      <c r="D4493" s="10" t="s">
        <v>4396</v>
      </c>
      <c r="E4493" s="10" t="str">
        <f>"644020240515193819182183"</f>
        <v>644020240515193819182183</v>
      </c>
      <c r="F4493" s="9"/>
    </row>
    <row r="4494" s="2" customFormat="1" ht="30" customHeight="1" spans="1:6">
      <c r="A4494" s="9">
        <v>4491</v>
      </c>
      <c r="B4494" s="10" t="s">
        <v>3779</v>
      </c>
      <c r="C4494" s="10" t="s">
        <v>3780</v>
      </c>
      <c r="D4494" s="10" t="s">
        <v>1580</v>
      </c>
      <c r="E4494" s="10" t="str">
        <f>"644020240515194355182191"</f>
        <v>644020240515194355182191</v>
      </c>
      <c r="F4494" s="9"/>
    </row>
    <row r="4495" s="2" customFormat="1" ht="30" customHeight="1" spans="1:6">
      <c r="A4495" s="9">
        <v>4492</v>
      </c>
      <c r="B4495" s="10" t="s">
        <v>3779</v>
      </c>
      <c r="C4495" s="10" t="s">
        <v>3780</v>
      </c>
      <c r="D4495" s="10" t="s">
        <v>4397</v>
      </c>
      <c r="E4495" s="10" t="str">
        <f>"644020240515193916182186"</f>
        <v>644020240515193916182186</v>
      </c>
      <c r="F4495" s="9"/>
    </row>
    <row r="4496" s="2" customFormat="1" ht="30" customHeight="1" spans="1:6">
      <c r="A4496" s="9">
        <v>4493</v>
      </c>
      <c r="B4496" s="10" t="s">
        <v>3779</v>
      </c>
      <c r="C4496" s="10" t="s">
        <v>3780</v>
      </c>
      <c r="D4496" s="10" t="s">
        <v>4398</v>
      </c>
      <c r="E4496" s="10" t="str">
        <f>"644020240515200040182215"</f>
        <v>644020240515200040182215</v>
      </c>
      <c r="F4496" s="9"/>
    </row>
    <row r="4497" s="2" customFormat="1" ht="30" customHeight="1" spans="1:6">
      <c r="A4497" s="9">
        <v>4494</v>
      </c>
      <c r="B4497" s="10" t="s">
        <v>3779</v>
      </c>
      <c r="C4497" s="10" t="s">
        <v>3780</v>
      </c>
      <c r="D4497" s="10" t="s">
        <v>4399</v>
      </c>
      <c r="E4497" s="10" t="str">
        <f>"644020240515195955182214"</f>
        <v>644020240515195955182214</v>
      </c>
      <c r="F4497" s="9"/>
    </row>
    <row r="4498" s="2" customFormat="1" ht="30" customHeight="1" spans="1:6">
      <c r="A4498" s="9">
        <v>4495</v>
      </c>
      <c r="B4498" s="10" t="s">
        <v>3779</v>
      </c>
      <c r="C4498" s="10" t="s">
        <v>3780</v>
      </c>
      <c r="D4498" s="10" t="s">
        <v>4400</v>
      </c>
      <c r="E4498" s="10" t="str">
        <f>"644020240515195554182209"</f>
        <v>644020240515195554182209</v>
      </c>
      <c r="F4498" s="9"/>
    </row>
    <row r="4499" s="2" customFormat="1" ht="30" customHeight="1" spans="1:6">
      <c r="A4499" s="9">
        <v>4496</v>
      </c>
      <c r="B4499" s="10" t="s">
        <v>3779</v>
      </c>
      <c r="C4499" s="10" t="s">
        <v>3780</v>
      </c>
      <c r="D4499" s="10" t="s">
        <v>4401</v>
      </c>
      <c r="E4499" s="10" t="str">
        <f>"644020240515184253182111"</f>
        <v>644020240515184253182111</v>
      </c>
      <c r="F4499" s="9"/>
    </row>
    <row r="4500" s="2" customFormat="1" ht="30" customHeight="1" spans="1:6">
      <c r="A4500" s="9">
        <v>4497</v>
      </c>
      <c r="B4500" s="10" t="s">
        <v>3779</v>
      </c>
      <c r="C4500" s="10" t="s">
        <v>3780</v>
      </c>
      <c r="D4500" s="10" t="s">
        <v>4402</v>
      </c>
      <c r="E4500" s="10" t="str">
        <f>"644020240515161739181825"</f>
        <v>644020240515161739181825</v>
      </c>
      <c r="F4500" s="9"/>
    </row>
    <row r="4501" s="2" customFormat="1" ht="30" customHeight="1" spans="1:6">
      <c r="A4501" s="9">
        <v>4498</v>
      </c>
      <c r="B4501" s="10" t="s">
        <v>3779</v>
      </c>
      <c r="C4501" s="10" t="s">
        <v>3780</v>
      </c>
      <c r="D4501" s="10" t="s">
        <v>4403</v>
      </c>
      <c r="E4501" s="10" t="str">
        <f>"644020240515112526181229"</f>
        <v>644020240515112526181229</v>
      </c>
      <c r="F4501" s="9"/>
    </row>
    <row r="4502" s="2" customFormat="1" ht="30" customHeight="1" spans="1:6">
      <c r="A4502" s="9">
        <v>4499</v>
      </c>
      <c r="B4502" s="10" t="s">
        <v>3779</v>
      </c>
      <c r="C4502" s="10" t="s">
        <v>3780</v>
      </c>
      <c r="D4502" s="10" t="s">
        <v>4404</v>
      </c>
      <c r="E4502" s="10" t="str">
        <f>"644020240513085840172467"</f>
        <v>644020240513085840172467</v>
      </c>
      <c r="F4502" s="9"/>
    </row>
    <row r="4503" s="2" customFormat="1" ht="30" customHeight="1" spans="1:6">
      <c r="A4503" s="9">
        <v>4500</v>
      </c>
      <c r="B4503" s="10" t="s">
        <v>3779</v>
      </c>
      <c r="C4503" s="10" t="s">
        <v>3780</v>
      </c>
      <c r="D4503" s="10" t="s">
        <v>4405</v>
      </c>
      <c r="E4503" s="10" t="str">
        <f>"644020240513130346174538"</f>
        <v>644020240513130346174538</v>
      </c>
      <c r="F4503" s="9"/>
    </row>
    <row r="4504" s="2" customFormat="1" ht="30" customHeight="1" spans="1:6">
      <c r="A4504" s="9">
        <v>4501</v>
      </c>
      <c r="B4504" s="10" t="s">
        <v>3779</v>
      </c>
      <c r="C4504" s="10" t="s">
        <v>3780</v>
      </c>
      <c r="D4504" s="10" t="s">
        <v>4406</v>
      </c>
      <c r="E4504" s="10" t="str">
        <f>"644020240514231723180496"</f>
        <v>644020240514231723180496</v>
      </c>
      <c r="F4504" s="9"/>
    </row>
    <row r="4505" s="2" customFormat="1" ht="30" customHeight="1" spans="1:6">
      <c r="A4505" s="9">
        <v>4502</v>
      </c>
      <c r="B4505" s="10" t="s">
        <v>3779</v>
      </c>
      <c r="C4505" s="10" t="s">
        <v>3780</v>
      </c>
      <c r="D4505" s="10" t="s">
        <v>4407</v>
      </c>
      <c r="E4505" s="10" t="str">
        <f>"644020240514212555180192"</f>
        <v>644020240514212555180192</v>
      </c>
      <c r="F4505" s="9"/>
    </row>
    <row r="4506" s="2" customFormat="1" ht="30" customHeight="1" spans="1:6">
      <c r="A4506" s="9">
        <v>4503</v>
      </c>
      <c r="B4506" s="10" t="s">
        <v>3779</v>
      </c>
      <c r="C4506" s="10" t="s">
        <v>3780</v>
      </c>
      <c r="D4506" s="10" t="s">
        <v>4237</v>
      </c>
      <c r="E4506" s="10" t="str">
        <f>"644020240515203220182265"</f>
        <v>644020240515203220182265</v>
      </c>
      <c r="F4506" s="9"/>
    </row>
    <row r="4507" s="2" customFormat="1" ht="30" customHeight="1" spans="1:6">
      <c r="A4507" s="9">
        <v>4504</v>
      </c>
      <c r="B4507" s="10" t="s">
        <v>3779</v>
      </c>
      <c r="C4507" s="10" t="s">
        <v>3780</v>
      </c>
      <c r="D4507" s="10" t="s">
        <v>4408</v>
      </c>
      <c r="E4507" s="10" t="str">
        <f>"644020240515194000182188"</f>
        <v>644020240515194000182188</v>
      </c>
      <c r="F4507" s="9"/>
    </row>
    <row r="4508" s="2" customFormat="1" ht="30" customHeight="1" spans="1:6">
      <c r="A4508" s="9">
        <v>4505</v>
      </c>
      <c r="B4508" s="10" t="s">
        <v>3779</v>
      </c>
      <c r="C4508" s="10" t="s">
        <v>3780</v>
      </c>
      <c r="D4508" s="10" t="s">
        <v>4409</v>
      </c>
      <c r="E4508" s="10" t="str">
        <f>"644020240512103746168609"</f>
        <v>644020240512103746168609</v>
      </c>
      <c r="F4508" s="9"/>
    </row>
    <row r="4509" s="2" customFormat="1" ht="30" customHeight="1" spans="1:6">
      <c r="A4509" s="9">
        <v>4506</v>
      </c>
      <c r="B4509" s="10" t="s">
        <v>3779</v>
      </c>
      <c r="C4509" s="10" t="s">
        <v>3780</v>
      </c>
      <c r="D4509" s="10" t="s">
        <v>4410</v>
      </c>
      <c r="E4509" s="10" t="str">
        <f>"644020240515163147181862"</f>
        <v>644020240515163147181862</v>
      </c>
      <c r="F4509" s="9"/>
    </row>
    <row r="4510" s="2" customFormat="1" ht="30" customHeight="1" spans="1:6">
      <c r="A4510" s="9">
        <v>4507</v>
      </c>
      <c r="B4510" s="10" t="s">
        <v>3779</v>
      </c>
      <c r="C4510" s="10" t="s">
        <v>3780</v>
      </c>
      <c r="D4510" s="10" t="s">
        <v>4411</v>
      </c>
      <c r="E4510" s="10" t="str">
        <f>"644020240514204901180069"</f>
        <v>644020240514204901180069</v>
      </c>
      <c r="F4510" s="9"/>
    </row>
    <row r="4511" s="2" customFormat="1" ht="30" customHeight="1" spans="1:6">
      <c r="A4511" s="9">
        <v>4508</v>
      </c>
      <c r="B4511" s="10" t="s">
        <v>3779</v>
      </c>
      <c r="C4511" s="10" t="s">
        <v>3780</v>
      </c>
      <c r="D4511" s="10" t="s">
        <v>4412</v>
      </c>
      <c r="E4511" s="10" t="str">
        <f>"644020240515220502182347"</f>
        <v>644020240515220502182347</v>
      </c>
      <c r="F4511" s="9"/>
    </row>
    <row r="4512" s="2" customFormat="1" ht="30" customHeight="1" spans="1:6">
      <c r="A4512" s="9">
        <v>4509</v>
      </c>
      <c r="B4512" s="10" t="s">
        <v>3779</v>
      </c>
      <c r="C4512" s="10" t="s">
        <v>3780</v>
      </c>
      <c r="D4512" s="10" t="s">
        <v>1641</v>
      </c>
      <c r="E4512" s="10" t="str">
        <f>"644020240514130858178981"</f>
        <v>644020240514130858178981</v>
      </c>
      <c r="F4512" s="9"/>
    </row>
    <row r="4513" s="2" customFormat="1" ht="30" customHeight="1" spans="1:6">
      <c r="A4513" s="9">
        <v>4510</v>
      </c>
      <c r="B4513" s="10" t="s">
        <v>3779</v>
      </c>
      <c r="C4513" s="10" t="s">
        <v>3780</v>
      </c>
      <c r="D4513" s="10" t="s">
        <v>4413</v>
      </c>
      <c r="E4513" s="10" t="str">
        <f>"644020240515220644182356"</f>
        <v>644020240515220644182356</v>
      </c>
      <c r="F4513" s="9"/>
    </row>
    <row r="4514" s="2" customFormat="1" ht="30" customHeight="1" spans="1:6">
      <c r="A4514" s="9">
        <v>4511</v>
      </c>
      <c r="B4514" s="10" t="s">
        <v>3779</v>
      </c>
      <c r="C4514" s="10" t="s">
        <v>3780</v>
      </c>
      <c r="D4514" s="10" t="s">
        <v>4414</v>
      </c>
      <c r="E4514" s="10" t="str">
        <f>"644020240514110710178627"</f>
        <v>644020240514110710178627</v>
      </c>
      <c r="F4514" s="9"/>
    </row>
    <row r="4515" s="2" customFormat="1" ht="30" customHeight="1" spans="1:6">
      <c r="A4515" s="9">
        <v>4512</v>
      </c>
      <c r="B4515" s="10" t="s">
        <v>3779</v>
      </c>
      <c r="C4515" s="10" t="s">
        <v>3780</v>
      </c>
      <c r="D4515" s="10" t="s">
        <v>4415</v>
      </c>
      <c r="E4515" s="10" t="str">
        <f>"644020240515222959182422"</f>
        <v>644020240515222959182422</v>
      </c>
      <c r="F4515" s="9"/>
    </row>
    <row r="4516" s="2" customFormat="1" ht="30" customHeight="1" spans="1:6">
      <c r="A4516" s="9">
        <v>4513</v>
      </c>
      <c r="B4516" s="10" t="s">
        <v>3779</v>
      </c>
      <c r="C4516" s="10" t="s">
        <v>3780</v>
      </c>
      <c r="D4516" s="10" t="s">
        <v>4416</v>
      </c>
      <c r="E4516" s="10" t="str">
        <f>"644020240515222033182395"</f>
        <v>644020240515222033182395</v>
      </c>
      <c r="F4516" s="9"/>
    </row>
    <row r="4517" s="2" customFormat="1" ht="30" customHeight="1" spans="1:6">
      <c r="A4517" s="9">
        <v>4514</v>
      </c>
      <c r="B4517" s="10" t="s">
        <v>3779</v>
      </c>
      <c r="C4517" s="10" t="s">
        <v>3780</v>
      </c>
      <c r="D4517" s="10" t="s">
        <v>4417</v>
      </c>
      <c r="E4517" s="10" t="str">
        <f>"644020240515224611182468"</f>
        <v>644020240515224611182468</v>
      </c>
      <c r="F4517" s="9"/>
    </row>
    <row r="4518" s="2" customFormat="1" ht="30" customHeight="1" spans="1:6">
      <c r="A4518" s="9">
        <v>4515</v>
      </c>
      <c r="B4518" s="10" t="s">
        <v>3779</v>
      </c>
      <c r="C4518" s="10" t="s">
        <v>3780</v>
      </c>
      <c r="D4518" s="10" t="s">
        <v>4418</v>
      </c>
      <c r="E4518" s="10" t="str">
        <f>"644020240512140808169481"</f>
        <v>644020240512140808169481</v>
      </c>
      <c r="F4518" s="9"/>
    </row>
    <row r="4519" s="2" customFormat="1" ht="30" customHeight="1" spans="1:6">
      <c r="A4519" s="9">
        <v>4516</v>
      </c>
      <c r="B4519" s="10" t="s">
        <v>3779</v>
      </c>
      <c r="C4519" s="10" t="s">
        <v>3780</v>
      </c>
      <c r="D4519" s="10" t="s">
        <v>4419</v>
      </c>
      <c r="E4519" s="10" t="str">
        <f>"644020240515225746182504"</f>
        <v>644020240515225746182504</v>
      </c>
      <c r="F4519" s="9"/>
    </row>
    <row r="4520" s="2" customFormat="1" ht="30" customHeight="1" spans="1:6">
      <c r="A4520" s="9">
        <v>4517</v>
      </c>
      <c r="B4520" s="10" t="s">
        <v>3779</v>
      </c>
      <c r="C4520" s="10" t="s">
        <v>3780</v>
      </c>
      <c r="D4520" s="10" t="s">
        <v>4420</v>
      </c>
      <c r="E4520" s="10" t="str">
        <f>"644020240515222420182410"</f>
        <v>644020240515222420182410</v>
      </c>
      <c r="F4520" s="9"/>
    </row>
    <row r="4521" s="2" customFormat="1" ht="30" customHeight="1" spans="1:6">
      <c r="A4521" s="9">
        <v>4518</v>
      </c>
      <c r="B4521" s="10" t="s">
        <v>3779</v>
      </c>
      <c r="C4521" s="10" t="s">
        <v>3780</v>
      </c>
      <c r="D4521" s="10" t="s">
        <v>4421</v>
      </c>
      <c r="E4521" s="10" t="str">
        <f>"644020240513131059174581"</f>
        <v>644020240513131059174581</v>
      </c>
      <c r="F4521" s="9"/>
    </row>
    <row r="4522" s="2" customFormat="1" ht="30" customHeight="1" spans="1:6">
      <c r="A4522" s="9">
        <v>4519</v>
      </c>
      <c r="B4522" s="10" t="s">
        <v>3779</v>
      </c>
      <c r="C4522" s="10" t="s">
        <v>3780</v>
      </c>
      <c r="D4522" s="10" t="s">
        <v>4422</v>
      </c>
      <c r="E4522" s="10" t="str">
        <f>"644020240515231039182534"</f>
        <v>644020240515231039182534</v>
      </c>
      <c r="F4522" s="9"/>
    </row>
    <row r="4523" s="2" customFormat="1" ht="30" customHeight="1" spans="1:6">
      <c r="A4523" s="9">
        <v>4520</v>
      </c>
      <c r="B4523" s="10" t="s">
        <v>3779</v>
      </c>
      <c r="C4523" s="10" t="s">
        <v>3780</v>
      </c>
      <c r="D4523" s="10" t="s">
        <v>4423</v>
      </c>
      <c r="E4523" s="10" t="str">
        <f>"644020240515224317182461"</f>
        <v>644020240515224317182461</v>
      </c>
      <c r="F4523" s="9"/>
    </row>
    <row r="4524" s="2" customFormat="1" ht="30" customHeight="1" spans="1:6">
      <c r="A4524" s="9">
        <v>4521</v>
      </c>
      <c r="B4524" s="10" t="s">
        <v>3779</v>
      </c>
      <c r="C4524" s="10" t="s">
        <v>3780</v>
      </c>
      <c r="D4524" s="10" t="s">
        <v>4424</v>
      </c>
      <c r="E4524" s="10" t="str">
        <f>"644020240515223254182430"</f>
        <v>644020240515223254182430</v>
      </c>
      <c r="F4524" s="9"/>
    </row>
    <row r="4525" s="2" customFormat="1" ht="30" customHeight="1" spans="1:6">
      <c r="A4525" s="9">
        <v>4522</v>
      </c>
      <c r="B4525" s="10" t="s">
        <v>3779</v>
      </c>
      <c r="C4525" s="10" t="s">
        <v>3780</v>
      </c>
      <c r="D4525" s="10" t="s">
        <v>4425</v>
      </c>
      <c r="E4525" s="10" t="str">
        <f>"644020240515224723182470"</f>
        <v>644020240515224723182470</v>
      </c>
      <c r="F4525" s="9"/>
    </row>
    <row r="4526" s="2" customFormat="1" ht="30" customHeight="1" spans="1:6">
      <c r="A4526" s="9">
        <v>4523</v>
      </c>
      <c r="B4526" s="10" t="s">
        <v>3779</v>
      </c>
      <c r="C4526" s="10" t="s">
        <v>3780</v>
      </c>
      <c r="D4526" s="10" t="s">
        <v>4426</v>
      </c>
      <c r="E4526" s="10" t="str">
        <f>"644020240515142755181560"</f>
        <v>644020240515142755181560</v>
      </c>
      <c r="F4526" s="9"/>
    </row>
    <row r="4527" s="2" customFormat="1" ht="30" customHeight="1" spans="1:6">
      <c r="A4527" s="9">
        <v>4524</v>
      </c>
      <c r="B4527" s="10" t="s">
        <v>3779</v>
      </c>
      <c r="C4527" s="10" t="s">
        <v>3780</v>
      </c>
      <c r="D4527" s="10" t="s">
        <v>4427</v>
      </c>
      <c r="E4527" s="10" t="str">
        <f>"644020240515152553181684"</f>
        <v>644020240515152553181684</v>
      </c>
      <c r="F4527" s="9"/>
    </row>
    <row r="4528" s="2" customFormat="1" ht="30" customHeight="1" spans="1:6">
      <c r="A4528" s="9">
        <v>4525</v>
      </c>
      <c r="B4528" s="10" t="s">
        <v>3779</v>
      </c>
      <c r="C4528" s="10" t="s">
        <v>3780</v>
      </c>
      <c r="D4528" s="10" t="s">
        <v>4428</v>
      </c>
      <c r="E4528" s="10" t="str">
        <f>"644020240515223349182434"</f>
        <v>644020240515223349182434</v>
      </c>
      <c r="F4528" s="9"/>
    </row>
    <row r="4529" s="2" customFormat="1" ht="30" customHeight="1" spans="1:6">
      <c r="A4529" s="9">
        <v>4526</v>
      </c>
      <c r="B4529" s="10" t="s">
        <v>3779</v>
      </c>
      <c r="C4529" s="10" t="s">
        <v>3780</v>
      </c>
      <c r="D4529" s="10" t="s">
        <v>4429</v>
      </c>
      <c r="E4529" s="10" t="str">
        <f>"644020240515224003182455"</f>
        <v>644020240515224003182455</v>
      </c>
      <c r="F4529" s="9"/>
    </row>
    <row r="4530" s="2" customFormat="1" ht="30" customHeight="1" spans="1:6">
      <c r="A4530" s="9">
        <v>4527</v>
      </c>
      <c r="B4530" s="10" t="s">
        <v>3779</v>
      </c>
      <c r="C4530" s="10" t="s">
        <v>3780</v>
      </c>
      <c r="D4530" s="10" t="s">
        <v>1383</v>
      </c>
      <c r="E4530" s="10" t="str">
        <f>"644020240515233617182584"</f>
        <v>644020240515233617182584</v>
      </c>
      <c r="F4530" s="9"/>
    </row>
    <row r="4531" s="2" customFormat="1" ht="30" customHeight="1" spans="1:6">
      <c r="A4531" s="9">
        <v>4528</v>
      </c>
      <c r="B4531" s="10" t="s">
        <v>3779</v>
      </c>
      <c r="C4531" s="10" t="s">
        <v>3780</v>
      </c>
      <c r="D4531" s="10" t="s">
        <v>4430</v>
      </c>
      <c r="E4531" s="10" t="str">
        <f>"644020240515130054181415"</f>
        <v>644020240515130054181415</v>
      </c>
      <c r="F4531" s="9"/>
    </row>
    <row r="4532" s="2" customFormat="1" ht="30" customHeight="1" spans="1:6">
      <c r="A4532" s="9">
        <v>4529</v>
      </c>
      <c r="B4532" s="10" t="s">
        <v>3779</v>
      </c>
      <c r="C4532" s="10" t="s">
        <v>3780</v>
      </c>
      <c r="D4532" s="10" t="s">
        <v>4431</v>
      </c>
      <c r="E4532" s="10" t="str">
        <f>"644020240515234646182602"</f>
        <v>644020240515234646182602</v>
      </c>
      <c r="F4532" s="9"/>
    </row>
    <row r="4533" s="2" customFormat="1" ht="30" customHeight="1" spans="1:6">
      <c r="A4533" s="9">
        <v>4530</v>
      </c>
      <c r="B4533" s="10" t="s">
        <v>3779</v>
      </c>
      <c r="C4533" s="10" t="s">
        <v>3780</v>
      </c>
      <c r="D4533" s="10" t="s">
        <v>4432</v>
      </c>
      <c r="E4533" s="10" t="str">
        <f>"644020240515235621182618"</f>
        <v>644020240515235621182618</v>
      </c>
      <c r="F4533" s="9"/>
    </row>
    <row r="4534" s="2" customFormat="1" ht="30" customHeight="1" spans="1:6">
      <c r="A4534" s="9">
        <v>4531</v>
      </c>
      <c r="B4534" s="10" t="s">
        <v>3779</v>
      </c>
      <c r="C4534" s="10" t="s">
        <v>3780</v>
      </c>
      <c r="D4534" s="10" t="s">
        <v>4433</v>
      </c>
      <c r="E4534" s="10" t="str">
        <f>"644020240515235610182617"</f>
        <v>644020240515235610182617</v>
      </c>
      <c r="F4534" s="9"/>
    </row>
    <row r="4535" s="2" customFormat="1" ht="30" customHeight="1" spans="1:6">
      <c r="A4535" s="9">
        <v>4532</v>
      </c>
      <c r="B4535" s="10" t="s">
        <v>3779</v>
      </c>
      <c r="C4535" s="10" t="s">
        <v>3780</v>
      </c>
      <c r="D4535" s="10" t="s">
        <v>4434</v>
      </c>
      <c r="E4535" s="10" t="str">
        <f>"644020240516001237182644"</f>
        <v>644020240516001237182644</v>
      </c>
      <c r="F4535" s="9"/>
    </row>
    <row r="4536" s="2" customFormat="1" ht="30" customHeight="1" spans="1:6">
      <c r="A4536" s="9">
        <v>4533</v>
      </c>
      <c r="B4536" s="10" t="s">
        <v>3779</v>
      </c>
      <c r="C4536" s="10" t="s">
        <v>3780</v>
      </c>
      <c r="D4536" s="10" t="s">
        <v>4435</v>
      </c>
      <c r="E4536" s="10" t="str">
        <f>"644020240516000522182633"</f>
        <v>644020240516000522182633</v>
      </c>
      <c r="F4536" s="9"/>
    </row>
    <row r="4537" s="2" customFormat="1" ht="30" customHeight="1" spans="1:6">
      <c r="A4537" s="9">
        <v>4534</v>
      </c>
      <c r="B4537" s="10" t="s">
        <v>3779</v>
      </c>
      <c r="C4537" s="10" t="s">
        <v>3780</v>
      </c>
      <c r="D4537" s="10" t="s">
        <v>4436</v>
      </c>
      <c r="E4537" s="10" t="str">
        <f>"644020240516000958182639"</f>
        <v>644020240516000958182639</v>
      </c>
      <c r="F4537" s="9"/>
    </row>
    <row r="4538" s="2" customFormat="1" ht="30" customHeight="1" spans="1:6">
      <c r="A4538" s="9">
        <v>4535</v>
      </c>
      <c r="B4538" s="10" t="s">
        <v>3779</v>
      </c>
      <c r="C4538" s="10" t="s">
        <v>3780</v>
      </c>
      <c r="D4538" s="10" t="s">
        <v>864</v>
      </c>
      <c r="E4538" s="10" t="str">
        <f>"644020240513094403172951"</f>
        <v>644020240513094403172951</v>
      </c>
      <c r="F4538" s="9"/>
    </row>
    <row r="4539" s="2" customFormat="1" ht="30" customHeight="1" spans="1:6">
      <c r="A4539" s="9">
        <v>4536</v>
      </c>
      <c r="B4539" s="10" t="s">
        <v>3779</v>
      </c>
      <c r="C4539" s="10" t="s">
        <v>3780</v>
      </c>
      <c r="D4539" s="10" t="s">
        <v>4437</v>
      </c>
      <c r="E4539" s="10" t="str">
        <f>"644020240516030923182702"</f>
        <v>644020240516030923182702</v>
      </c>
      <c r="F4539" s="9"/>
    </row>
    <row r="4540" s="2" customFormat="1" ht="30" customHeight="1" spans="1:6">
      <c r="A4540" s="9">
        <v>4537</v>
      </c>
      <c r="B4540" s="10" t="s">
        <v>3779</v>
      </c>
      <c r="C4540" s="10" t="s">
        <v>3780</v>
      </c>
      <c r="D4540" s="10" t="s">
        <v>4438</v>
      </c>
      <c r="E4540" s="10" t="str">
        <f>"644020240516080721182741"</f>
        <v>644020240516080721182741</v>
      </c>
      <c r="F4540" s="9"/>
    </row>
    <row r="4541" s="2" customFormat="1" ht="30" customHeight="1" spans="1:6">
      <c r="A4541" s="9">
        <v>4538</v>
      </c>
      <c r="B4541" s="10" t="s">
        <v>3779</v>
      </c>
      <c r="C4541" s="10" t="s">
        <v>3780</v>
      </c>
      <c r="D4541" s="10" t="s">
        <v>4439</v>
      </c>
      <c r="E4541" s="10" t="str">
        <f>"644020240514200424179981"</f>
        <v>644020240514200424179981</v>
      </c>
      <c r="F4541" s="9"/>
    </row>
    <row r="4542" s="2" customFormat="1" ht="30" customHeight="1" spans="1:6">
      <c r="A4542" s="9">
        <v>4539</v>
      </c>
      <c r="B4542" s="10" t="s">
        <v>3779</v>
      </c>
      <c r="C4542" s="10" t="s">
        <v>3780</v>
      </c>
      <c r="D4542" s="10" t="s">
        <v>4440</v>
      </c>
      <c r="E4542" s="10" t="str">
        <f>"644020240513102057173316"</f>
        <v>644020240513102057173316</v>
      </c>
      <c r="F4542" s="9"/>
    </row>
    <row r="4543" s="2" customFormat="1" ht="30" customHeight="1" spans="1:6">
      <c r="A4543" s="9">
        <v>4540</v>
      </c>
      <c r="B4543" s="10" t="s">
        <v>3779</v>
      </c>
      <c r="C4543" s="10" t="s">
        <v>3780</v>
      </c>
      <c r="D4543" s="10" t="s">
        <v>4441</v>
      </c>
      <c r="E4543" s="10" t="str">
        <f>"644020240515091900180818"</f>
        <v>644020240515091900180818</v>
      </c>
      <c r="F4543" s="9"/>
    </row>
    <row r="4544" s="2" customFormat="1" ht="30" customHeight="1" spans="1:6">
      <c r="A4544" s="9">
        <v>4541</v>
      </c>
      <c r="B4544" s="10" t="s">
        <v>3779</v>
      </c>
      <c r="C4544" s="10" t="s">
        <v>3780</v>
      </c>
      <c r="D4544" s="10" t="s">
        <v>4442</v>
      </c>
      <c r="E4544" s="10" t="str">
        <f>"644020240516085450182800"</f>
        <v>644020240516085450182800</v>
      </c>
      <c r="F4544" s="9"/>
    </row>
    <row r="4545" s="2" customFormat="1" ht="30" customHeight="1" spans="1:6">
      <c r="A4545" s="9">
        <v>4542</v>
      </c>
      <c r="B4545" s="10" t="s">
        <v>3779</v>
      </c>
      <c r="C4545" s="10" t="s">
        <v>3780</v>
      </c>
      <c r="D4545" s="10" t="s">
        <v>4443</v>
      </c>
      <c r="E4545" s="10" t="str">
        <f>"644020240515162534181846"</f>
        <v>644020240515162534181846</v>
      </c>
      <c r="F4545" s="9"/>
    </row>
    <row r="4546" s="2" customFormat="1" ht="30" customHeight="1" spans="1:6">
      <c r="A4546" s="9">
        <v>4543</v>
      </c>
      <c r="B4546" s="10" t="s">
        <v>3779</v>
      </c>
      <c r="C4546" s="10" t="s">
        <v>3780</v>
      </c>
      <c r="D4546" s="10" t="s">
        <v>4444</v>
      </c>
      <c r="E4546" s="10" t="str">
        <f>"644020240515082947180696"</f>
        <v>644020240515082947180696</v>
      </c>
      <c r="F4546" s="9"/>
    </row>
    <row r="4547" s="2" customFormat="1" ht="30" customHeight="1" spans="1:6">
      <c r="A4547" s="9">
        <v>4544</v>
      </c>
      <c r="B4547" s="10" t="s">
        <v>3779</v>
      </c>
      <c r="C4547" s="10" t="s">
        <v>3780</v>
      </c>
      <c r="D4547" s="10" t="s">
        <v>4445</v>
      </c>
      <c r="E4547" s="10" t="str">
        <f>"644020240516095614182940"</f>
        <v>644020240516095614182940</v>
      </c>
      <c r="F4547" s="9"/>
    </row>
    <row r="4548" s="2" customFormat="1" ht="30" customHeight="1" spans="1:6">
      <c r="A4548" s="9">
        <v>4545</v>
      </c>
      <c r="B4548" s="10" t="s">
        <v>3779</v>
      </c>
      <c r="C4548" s="10" t="s">
        <v>3780</v>
      </c>
      <c r="D4548" s="10" t="s">
        <v>4446</v>
      </c>
      <c r="E4548" s="10" t="str">
        <f>"644020240516091958182853"</f>
        <v>644020240516091958182853</v>
      </c>
      <c r="F4548" s="9"/>
    </row>
    <row r="4549" s="2" customFormat="1" ht="30" customHeight="1" spans="1:6">
      <c r="A4549" s="9">
        <v>4546</v>
      </c>
      <c r="B4549" s="10" t="s">
        <v>3779</v>
      </c>
      <c r="C4549" s="10" t="s">
        <v>3780</v>
      </c>
      <c r="D4549" s="10" t="s">
        <v>4447</v>
      </c>
      <c r="E4549" s="10" t="str">
        <f>"644020240516093609182892"</f>
        <v>644020240516093609182892</v>
      </c>
      <c r="F4549" s="9"/>
    </row>
    <row r="4550" s="2" customFormat="1" ht="30" customHeight="1" spans="1:6">
      <c r="A4550" s="9">
        <v>4547</v>
      </c>
      <c r="B4550" s="10" t="s">
        <v>3779</v>
      </c>
      <c r="C4550" s="10" t="s">
        <v>3780</v>
      </c>
      <c r="D4550" s="10" t="s">
        <v>4448</v>
      </c>
      <c r="E4550" s="10" t="str">
        <f>"644020240516092901182875"</f>
        <v>644020240516092901182875</v>
      </c>
      <c r="F4550" s="9"/>
    </row>
    <row r="4551" s="2" customFormat="1" ht="30" customHeight="1" spans="1:6">
      <c r="A4551" s="9">
        <v>4548</v>
      </c>
      <c r="B4551" s="10" t="s">
        <v>3779</v>
      </c>
      <c r="C4551" s="10" t="s">
        <v>3780</v>
      </c>
      <c r="D4551" s="10" t="s">
        <v>4449</v>
      </c>
      <c r="E4551" s="10" t="str">
        <f>"644020240515091928180820"</f>
        <v>644020240515091928180820</v>
      </c>
      <c r="F4551" s="9"/>
    </row>
    <row r="4552" s="2" customFormat="1" ht="30" customHeight="1" spans="1:6">
      <c r="A4552" s="9">
        <v>4549</v>
      </c>
      <c r="B4552" s="10" t="s">
        <v>3779</v>
      </c>
      <c r="C4552" s="10" t="s">
        <v>3780</v>
      </c>
      <c r="D4552" s="10" t="s">
        <v>4450</v>
      </c>
      <c r="E4552" s="10" t="str">
        <f>"644020240516100251182962"</f>
        <v>644020240516100251182962</v>
      </c>
      <c r="F4552" s="9"/>
    </row>
    <row r="4553" s="2" customFormat="1" ht="30" customHeight="1" spans="1:6">
      <c r="A4553" s="9">
        <v>4550</v>
      </c>
      <c r="B4553" s="10" t="s">
        <v>3779</v>
      </c>
      <c r="C4553" s="10" t="s">
        <v>3780</v>
      </c>
      <c r="D4553" s="10" t="s">
        <v>4451</v>
      </c>
      <c r="E4553" s="10" t="str">
        <f>"644020240513222945177362"</f>
        <v>644020240513222945177362</v>
      </c>
      <c r="F4553" s="9"/>
    </row>
    <row r="4554" s="2" customFormat="1" ht="30" customHeight="1" spans="1:6">
      <c r="A4554" s="9">
        <v>4551</v>
      </c>
      <c r="B4554" s="10" t="s">
        <v>3779</v>
      </c>
      <c r="C4554" s="10" t="s">
        <v>3780</v>
      </c>
      <c r="D4554" s="10" t="s">
        <v>4452</v>
      </c>
      <c r="E4554" s="10" t="str">
        <f>"644020240516102612183019"</f>
        <v>644020240516102612183019</v>
      </c>
      <c r="F4554" s="9"/>
    </row>
    <row r="4555" s="2" customFormat="1" ht="30" customHeight="1" spans="1:6">
      <c r="A4555" s="9">
        <v>4552</v>
      </c>
      <c r="B4555" s="10" t="s">
        <v>3779</v>
      </c>
      <c r="C4555" s="10" t="s">
        <v>3780</v>
      </c>
      <c r="D4555" s="10" t="s">
        <v>4453</v>
      </c>
      <c r="E4555" s="10" t="str">
        <f>"644020240516110927183130"</f>
        <v>644020240516110927183130</v>
      </c>
      <c r="F4555" s="9"/>
    </row>
    <row r="4556" s="2" customFormat="1" ht="30" customHeight="1" spans="1:6">
      <c r="A4556" s="9">
        <v>4553</v>
      </c>
      <c r="B4556" s="10" t="s">
        <v>3779</v>
      </c>
      <c r="C4556" s="10" t="s">
        <v>3780</v>
      </c>
      <c r="D4556" s="10" t="s">
        <v>4454</v>
      </c>
      <c r="E4556" s="10" t="str">
        <f>"644020240514171609179671"</f>
        <v>644020240514171609179671</v>
      </c>
      <c r="F4556" s="9"/>
    </row>
    <row r="4557" s="2" customFormat="1" ht="30" customHeight="1" spans="1:6">
      <c r="A4557" s="9">
        <v>4554</v>
      </c>
      <c r="B4557" s="10" t="s">
        <v>3779</v>
      </c>
      <c r="C4557" s="10" t="s">
        <v>3780</v>
      </c>
      <c r="D4557" s="10" t="s">
        <v>4455</v>
      </c>
      <c r="E4557" s="10" t="str">
        <f>"644020240516101752182996"</f>
        <v>644020240516101752182996</v>
      </c>
      <c r="F4557" s="9"/>
    </row>
    <row r="4558" s="2" customFormat="1" ht="30" customHeight="1" spans="1:6">
      <c r="A4558" s="9">
        <v>4555</v>
      </c>
      <c r="B4558" s="10" t="s">
        <v>3779</v>
      </c>
      <c r="C4558" s="10" t="s">
        <v>3780</v>
      </c>
      <c r="D4558" s="10" t="s">
        <v>4456</v>
      </c>
      <c r="E4558" s="10" t="str">
        <f>"644020240516110808183124"</f>
        <v>644020240516110808183124</v>
      </c>
      <c r="F4558" s="9"/>
    </row>
    <row r="4559" s="2" customFormat="1" ht="30" customHeight="1" spans="1:6">
      <c r="A4559" s="9">
        <v>4556</v>
      </c>
      <c r="B4559" s="10" t="s">
        <v>3779</v>
      </c>
      <c r="C4559" s="10" t="s">
        <v>3780</v>
      </c>
      <c r="D4559" s="10" t="s">
        <v>4457</v>
      </c>
      <c r="E4559" s="10" t="str">
        <f>"644020240516110720183122"</f>
        <v>644020240516110720183122</v>
      </c>
      <c r="F4559" s="9"/>
    </row>
    <row r="4560" s="2" customFormat="1" ht="30" customHeight="1" spans="1:6">
      <c r="A4560" s="9">
        <v>4557</v>
      </c>
      <c r="B4560" s="10" t="s">
        <v>3779</v>
      </c>
      <c r="C4560" s="10" t="s">
        <v>3780</v>
      </c>
      <c r="D4560" s="10" t="s">
        <v>4458</v>
      </c>
      <c r="E4560" s="10" t="str">
        <f>"644020240516102332183013"</f>
        <v>644020240516102332183013</v>
      </c>
      <c r="F4560" s="9"/>
    </row>
    <row r="4561" s="2" customFormat="1" ht="30" customHeight="1" spans="1:6">
      <c r="A4561" s="9">
        <v>4558</v>
      </c>
      <c r="B4561" s="10" t="s">
        <v>3779</v>
      </c>
      <c r="C4561" s="10" t="s">
        <v>3780</v>
      </c>
      <c r="D4561" s="10" t="s">
        <v>4459</v>
      </c>
      <c r="E4561" s="10" t="str">
        <f>"644020240516111714183151"</f>
        <v>644020240516111714183151</v>
      </c>
      <c r="F4561" s="9"/>
    </row>
    <row r="4562" s="2" customFormat="1" ht="30" customHeight="1" spans="1:6">
      <c r="A4562" s="9">
        <v>4559</v>
      </c>
      <c r="B4562" s="10" t="s">
        <v>3779</v>
      </c>
      <c r="C4562" s="10" t="s">
        <v>3780</v>
      </c>
      <c r="D4562" s="10" t="s">
        <v>4460</v>
      </c>
      <c r="E4562" s="10" t="str">
        <f>"644020240513111138173798"</f>
        <v>644020240513111138173798</v>
      </c>
      <c r="F4562" s="9"/>
    </row>
    <row r="4563" s="2" customFormat="1" ht="30" customHeight="1" spans="1:6">
      <c r="A4563" s="9">
        <v>4560</v>
      </c>
      <c r="B4563" s="10" t="s">
        <v>3779</v>
      </c>
      <c r="C4563" s="10" t="s">
        <v>3780</v>
      </c>
      <c r="D4563" s="10" t="s">
        <v>4461</v>
      </c>
      <c r="E4563" s="10" t="str">
        <f>"644020240516095618182941"</f>
        <v>644020240516095618182941</v>
      </c>
      <c r="F4563" s="9"/>
    </row>
    <row r="4564" s="2" customFormat="1" ht="30" customHeight="1" spans="1:6">
      <c r="A4564" s="9">
        <v>4561</v>
      </c>
      <c r="B4564" s="10" t="s">
        <v>3779</v>
      </c>
      <c r="C4564" s="10" t="s">
        <v>3780</v>
      </c>
      <c r="D4564" s="10" t="s">
        <v>4462</v>
      </c>
      <c r="E4564" s="10" t="str">
        <f>"644020240515233323182577"</f>
        <v>644020240515233323182577</v>
      </c>
      <c r="F4564" s="9"/>
    </row>
    <row r="4565" s="2" customFormat="1" ht="30" customHeight="1" spans="1:6">
      <c r="A4565" s="9">
        <v>4562</v>
      </c>
      <c r="B4565" s="10" t="s">
        <v>3779</v>
      </c>
      <c r="C4565" s="10" t="s">
        <v>3780</v>
      </c>
      <c r="D4565" s="10" t="s">
        <v>4463</v>
      </c>
      <c r="E4565" s="10" t="str">
        <f>"644020240515125345181405"</f>
        <v>644020240515125345181405</v>
      </c>
      <c r="F4565" s="9"/>
    </row>
    <row r="4566" s="2" customFormat="1" ht="30" customHeight="1" spans="1:6">
      <c r="A4566" s="9">
        <v>4563</v>
      </c>
      <c r="B4566" s="10" t="s">
        <v>3779</v>
      </c>
      <c r="C4566" s="10" t="s">
        <v>3780</v>
      </c>
      <c r="D4566" s="10" t="s">
        <v>4464</v>
      </c>
      <c r="E4566" s="10" t="str">
        <f>"644020240513135837174783"</f>
        <v>644020240513135837174783</v>
      </c>
      <c r="F4566" s="9"/>
    </row>
    <row r="4567" s="2" customFormat="1" ht="30" customHeight="1" spans="1:6">
      <c r="A4567" s="9">
        <v>4564</v>
      </c>
      <c r="B4567" s="10" t="s">
        <v>3779</v>
      </c>
      <c r="C4567" s="10" t="s">
        <v>3780</v>
      </c>
      <c r="D4567" s="10" t="s">
        <v>4465</v>
      </c>
      <c r="E4567" s="10" t="str">
        <f>"644020240516083206182776"</f>
        <v>644020240516083206182776</v>
      </c>
      <c r="F4567" s="9"/>
    </row>
    <row r="4568" s="2" customFormat="1" ht="30" customHeight="1" spans="1:6">
      <c r="A4568" s="9">
        <v>4565</v>
      </c>
      <c r="B4568" s="10" t="s">
        <v>3779</v>
      </c>
      <c r="C4568" s="10" t="s">
        <v>3780</v>
      </c>
      <c r="D4568" s="10" t="s">
        <v>4466</v>
      </c>
      <c r="E4568" s="10" t="str">
        <f>"644020240516123450183290"</f>
        <v>644020240516123450183290</v>
      </c>
      <c r="F4568" s="9"/>
    </row>
    <row r="4569" s="2" customFormat="1" ht="30" customHeight="1" spans="1:6">
      <c r="A4569" s="9">
        <v>4566</v>
      </c>
      <c r="B4569" s="10" t="s">
        <v>3779</v>
      </c>
      <c r="C4569" s="10" t="s">
        <v>3780</v>
      </c>
      <c r="D4569" s="10" t="s">
        <v>4467</v>
      </c>
      <c r="E4569" s="10" t="str">
        <f>"644020240512200755170739"</f>
        <v>644020240512200755170739</v>
      </c>
      <c r="F4569" s="9"/>
    </row>
    <row r="4570" s="2" customFormat="1" ht="30" customHeight="1" spans="1:6">
      <c r="A4570" s="9">
        <v>4567</v>
      </c>
      <c r="B4570" s="10" t="s">
        <v>3779</v>
      </c>
      <c r="C4570" s="10" t="s">
        <v>3780</v>
      </c>
      <c r="D4570" s="10" t="s">
        <v>4468</v>
      </c>
      <c r="E4570" s="10" t="str">
        <f>"644020240516122944183283"</f>
        <v>644020240516122944183283</v>
      </c>
      <c r="F4570" s="9"/>
    </row>
    <row r="4571" s="2" customFormat="1" ht="30" customHeight="1" spans="1:6">
      <c r="A4571" s="9">
        <v>4568</v>
      </c>
      <c r="B4571" s="10" t="s">
        <v>3779</v>
      </c>
      <c r="C4571" s="10" t="s">
        <v>3780</v>
      </c>
      <c r="D4571" s="10" t="s">
        <v>4469</v>
      </c>
      <c r="E4571" s="10" t="str">
        <f>"644020240514201930180023"</f>
        <v>644020240514201930180023</v>
      </c>
      <c r="F4571" s="9"/>
    </row>
    <row r="4572" s="2" customFormat="1" ht="30" customHeight="1" spans="1:6">
      <c r="A4572" s="9">
        <v>4569</v>
      </c>
      <c r="B4572" s="10" t="s">
        <v>3779</v>
      </c>
      <c r="C4572" s="10" t="s">
        <v>3780</v>
      </c>
      <c r="D4572" s="10" t="s">
        <v>4470</v>
      </c>
      <c r="E4572" s="10" t="str">
        <f>"644020240515171237181979"</f>
        <v>644020240515171237181979</v>
      </c>
      <c r="F4572" s="9"/>
    </row>
    <row r="4573" s="2" customFormat="1" ht="30" customHeight="1" spans="1:6">
      <c r="A4573" s="9">
        <v>4570</v>
      </c>
      <c r="B4573" s="10" t="s">
        <v>3779</v>
      </c>
      <c r="C4573" s="10" t="s">
        <v>3780</v>
      </c>
      <c r="D4573" s="10" t="s">
        <v>865</v>
      </c>
      <c r="E4573" s="10" t="str">
        <f>"644020240513083204172305"</f>
        <v>644020240513083204172305</v>
      </c>
      <c r="F4573" s="9"/>
    </row>
    <row r="4574" s="2" customFormat="1" ht="30" customHeight="1" spans="1:6">
      <c r="A4574" s="9">
        <v>4571</v>
      </c>
      <c r="B4574" s="10" t="s">
        <v>3779</v>
      </c>
      <c r="C4574" s="10" t="s">
        <v>3780</v>
      </c>
      <c r="D4574" s="10" t="s">
        <v>4471</v>
      </c>
      <c r="E4574" s="10" t="str">
        <f>"644020240516094815182921"</f>
        <v>644020240516094815182921</v>
      </c>
      <c r="F4574" s="9"/>
    </row>
    <row r="4575" s="2" customFormat="1" ht="30" customHeight="1" spans="1:6">
      <c r="A4575" s="9">
        <v>4572</v>
      </c>
      <c r="B4575" s="10" t="s">
        <v>3779</v>
      </c>
      <c r="C4575" s="10" t="s">
        <v>3780</v>
      </c>
      <c r="D4575" s="10" t="s">
        <v>4472</v>
      </c>
      <c r="E4575" s="10" t="str">
        <f>"644020240514150139179209"</f>
        <v>644020240514150139179209</v>
      </c>
      <c r="F4575" s="9"/>
    </row>
    <row r="4576" s="2" customFormat="1" ht="30" customHeight="1" spans="1:6">
      <c r="A4576" s="9">
        <v>4573</v>
      </c>
      <c r="B4576" s="10" t="s">
        <v>3779</v>
      </c>
      <c r="C4576" s="10" t="s">
        <v>3780</v>
      </c>
      <c r="D4576" s="10" t="s">
        <v>4473</v>
      </c>
      <c r="E4576" s="10" t="str">
        <f>"644020240516013302182690"</f>
        <v>644020240516013302182690</v>
      </c>
      <c r="F4576" s="9"/>
    </row>
    <row r="4577" s="2" customFormat="1" ht="30" customHeight="1" spans="1:6">
      <c r="A4577" s="9">
        <v>4574</v>
      </c>
      <c r="B4577" s="10" t="s">
        <v>3779</v>
      </c>
      <c r="C4577" s="10" t="s">
        <v>3780</v>
      </c>
      <c r="D4577" s="10" t="s">
        <v>4474</v>
      </c>
      <c r="E4577" s="10" t="str">
        <f>"644020240516123214183285"</f>
        <v>644020240516123214183285</v>
      </c>
      <c r="F4577" s="9"/>
    </row>
    <row r="4578" s="2" customFormat="1" ht="30" customHeight="1" spans="1:6">
      <c r="A4578" s="9">
        <v>4575</v>
      </c>
      <c r="B4578" s="10" t="s">
        <v>3779</v>
      </c>
      <c r="C4578" s="10" t="s">
        <v>3780</v>
      </c>
      <c r="D4578" s="10" t="s">
        <v>4475</v>
      </c>
      <c r="E4578" s="10" t="str">
        <f>"644020240514164319179550"</f>
        <v>644020240514164319179550</v>
      </c>
      <c r="F4578" s="9"/>
    </row>
    <row r="4579" s="2" customFormat="1" ht="30" customHeight="1" spans="1:6">
      <c r="A4579" s="9">
        <v>4576</v>
      </c>
      <c r="B4579" s="10" t="s">
        <v>3779</v>
      </c>
      <c r="C4579" s="10" t="s">
        <v>3780</v>
      </c>
      <c r="D4579" s="10" t="s">
        <v>4476</v>
      </c>
      <c r="E4579" s="10" t="str">
        <f>"644020240515151025181642"</f>
        <v>644020240515151025181642</v>
      </c>
      <c r="F4579" s="9"/>
    </row>
    <row r="4580" s="2" customFormat="1" ht="30" customHeight="1" spans="1:6">
      <c r="A4580" s="9">
        <v>4577</v>
      </c>
      <c r="B4580" s="10" t="s">
        <v>3779</v>
      </c>
      <c r="C4580" s="10" t="s">
        <v>3780</v>
      </c>
      <c r="D4580" s="10" t="s">
        <v>4477</v>
      </c>
      <c r="E4580" s="10" t="str">
        <f>"644020240515223843182450"</f>
        <v>644020240515223843182450</v>
      </c>
      <c r="F4580" s="9"/>
    </row>
    <row r="4581" s="2" customFormat="1" ht="30" customHeight="1" spans="1:6">
      <c r="A4581" s="9">
        <v>4578</v>
      </c>
      <c r="B4581" s="10" t="s">
        <v>3779</v>
      </c>
      <c r="C4581" s="10" t="s">
        <v>3780</v>
      </c>
      <c r="D4581" s="10" t="s">
        <v>4426</v>
      </c>
      <c r="E4581" s="10" t="str">
        <f>"644020240516124440183304"</f>
        <v>644020240516124440183304</v>
      </c>
      <c r="F4581" s="9"/>
    </row>
    <row r="4582" s="2" customFormat="1" ht="30" customHeight="1" spans="1:6">
      <c r="A4582" s="9">
        <v>4579</v>
      </c>
      <c r="B4582" s="10" t="s">
        <v>3779</v>
      </c>
      <c r="C4582" s="10" t="s">
        <v>3780</v>
      </c>
      <c r="D4582" s="10" t="s">
        <v>4478</v>
      </c>
      <c r="E4582" s="10" t="str">
        <f>"644020240515141533181538"</f>
        <v>644020240515141533181538</v>
      </c>
      <c r="F4582" s="9"/>
    </row>
    <row r="4583" s="2" customFormat="1" ht="30" customHeight="1" spans="1:6">
      <c r="A4583" s="9">
        <v>4580</v>
      </c>
      <c r="B4583" s="10" t="s">
        <v>3779</v>
      </c>
      <c r="C4583" s="10" t="s">
        <v>3780</v>
      </c>
      <c r="D4583" s="10" t="s">
        <v>4479</v>
      </c>
      <c r="E4583" s="10" t="str">
        <f>"644020240514150346179218"</f>
        <v>644020240514150346179218</v>
      </c>
      <c r="F4583" s="9"/>
    </row>
    <row r="4584" s="2" customFormat="1" ht="30" customHeight="1" spans="1:6">
      <c r="A4584" s="9">
        <v>4581</v>
      </c>
      <c r="B4584" s="10" t="s">
        <v>3779</v>
      </c>
      <c r="C4584" s="10" t="s">
        <v>3780</v>
      </c>
      <c r="D4584" s="10" t="s">
        <v>4480</v>
      </c>
      <c r="E4584" s="10" t="str">
        <f>"644020240516114944183206"</f>
        <v>644020240516114944183206</v>
      </c>
      <c r="F4584" s="9"/>
    </row>
    <row r="4585" s="2" customFormat="1" ht="30" customHeight="1" spans="1:6">
      <c r="A4585" s="9">
        <v>4582</v>
      </c>
      <c r="B4585" s="10" t="s">
        <v>3779</v>
      </c>
      <c r="C4585" s="10" t="s">
        <v>3780</v>
      </c>
      <c r="D4585" s="10" t="s">
        <v>4481</v>
      </c>
      <c r="E4585" s="10" t="str">
        <f>"644020240516131815183359"</f>
        <v>644020240516131815183359</v>
      </c>
      <c r="F4585" s="9"/>
    </row>
    <row r="4586" s="2" customFormat="1" ht="30" customHeight="1" spans="1:6">
      <c r="A4586" s="9">
        <v>4583</v>
      </c>
      <c r="B4586" s="10" t="s">
        <v>3779</v>
      </c>
      <c r="C4586" s="10" t="s">
        <v>3780</v>
      </c>
      <c r="D4586" s="10" t="s">
        <v>4482</v>
      </c>
      <c r="E4586" s="10" t="str">
        <f>"644020240514135811179070"</f>
        <v>644020240514135811179070</v>
      </c>
      <c r="F4586" s="9"/>
    </row>
    <row r="4587" s="2" customFormat="1" ht="30" customHeight="1" spans="1:6">
      <c r="A4587" s="9">
        <v>4584</v>
      </c>
      <c r="B4587" s="10" t="s">
        <v>3779</v>
      </c>
      <c r="C4587" s="10" t="s">
        <v>3780</v>
      </c>
      <c r="D4587" s="10" t="s">
        <v>4483</v>
      </c>
      <c r="E4587" s="10" t="str">
        <f>"644020240516121937183256"</f>
        <v>644020240516121937183256</v>
      </c>
      <c r="F4587" s="9"/>
    </row>
    <row r="4588" s="2" customFormat="1" ht="30" customHeight="1" spans="1:6">
      <c r="A4588" s="9">
        <v>4585</v>
      </c>
      <c r="B4588" s="10" t="s">
        <v>3779</v>
      </c>
      <c r="C4588" s="10" t="s">
        <v>3780</v>
      </c>
      <c r="D4588" s="10" t="s">
        <v>4484</v>
      </c>
      <c r="E4588" s="10" t="str">
        <f>"644020240512224440171577"</f>
        <v>644020240512224440171577</v>
      </c>
      <c r="F4588" s="9"/>
    </row>
    <row r="4589" s="2" customFormat="1" ht="30" customHeight="1" spans="1:6">
      <c r="A4589" s="9">
        <v>4586</v>
      </c>
      <c r="B4589" s="10" t="s">
        <v>3779</v>
      </c>
      <c r="C4589" s="10" t="s">
        <v>3780</v>
      </c>
      <c r="D4589" s="10" t="s">
        <v>4485</v>
      </c>
      <c r="E4589" s="10" t="str">
        <f>"644020240516140831183410"</f>
        <v>644020240516140831183410</v>
      </c>
      <c r="F4589" s="9"/>
    </row>
    <row r="4590" s="2" customFormat="1" ht="30" customHeight="1" spans="1:6">
      <c r="A4590" s="9">
        <v>4587</v>
      </c>
      <c r="B4590" s="10" t="s">
        <v>3779</v>
      </c>
      <c r="C4590" s="10" t="s">
        <v>3780</v>
      </c>
      <c r="D4590" s="10" t="s">
        <v>4486</v>
      </c>
      <c r="E4590" s="10" t="str">
        <f>"644020240514142217179121"</f>
        <v>644020240514142217179121</v>
      </c>
      <c r="F4590" s="9"/>
    </row>
    <row r="4591" s="2" customFormat="1" ht="30" customHeight="1" spans="1:6">
      <c r="A4591" s="9">
        <v>4588</v>
      </c>
      <c r="B4591" s="10" t="s">
        <v>3779</v>
      </c>
      <c r="C4591" s="10" t="s">
        <v>3780</v>
      </c>
      <c r="D4591" s="10" t="s">
        <v>4487</v>
      </c>
      <c r="E4591" s="10" t="str">
        <f>"644020240516142615183421"</f>
        <v>644020240516142615183421</v>
      </c>
      <c r="F4591" s="9"/>
    </row>
    <row r="4592" s="2" customFormat="1" ht="30" customHeight="1" spans="1:6">
      <c r="A4592" s="9">
        <v>4589</v>
      </c>
      <c r="B4592" s="10" t="s">
        <v>3779</v>
      </c>
      <c r="C4592" s="10" t="s">
        <v>3780</v>
      </c>
      <c r="D4592" s="10" t="s">
        <v>4488</v>
      </c>
      <c r="E4592" s="10" t="str">
        <f>"644020240516141945183417"</f>
        <v>644020240516141945183417</v>
      </c>
      <c r="F4592" s="9"/>
    </row>
    <row r="4593" s="2" customFormat="1" ht="30" customHeight="1" spans="1:6">
      <c r="A4593" s="9">
        <v>4590</v>
      </c>
      <c r="B4593" s="10" t="s">
        <v>3779</v>
      </c>
      <c r="C4593" s="10" t="s">
        <v>3780</v>
      </c>
      <c r="D4593" s="10" t="s">
        <v>4489</v>
      </c>
      <c r="E4593" s="10" t="str">
        <f>"644020240516140825183409"</f>
        <v>644020240516140825183409</v>
      </c>
      <c r="F4593" s="9"/>
    </row>
    <row r="4594" s="2" customFormat="1" ht="30" customHeight="1" spans="1:6">
      <c r="A4594" s="9">
        <v>4591</v>
      </c>
      <c r="B4594" s="10" t="s">
        <v>3779</v>
      </c>
      <c r="C4594" s="10" t="s">
        <v>3780</v>
      </c>
      <c r="D4594" s="10" t="s">
        <v>4490</v>
      </c>
      <c r="E4594" s="10" t="str">
        <f>"644020240514230052180456"</f>
        <v>644020240514230052180456</v>
      </c>
      <c r="F4594" s="9"/>
    </row>
    <row r="4595" s="2" customFormat="1" ht="30" customHeight="1" spans="1:6">
      <c r="A4595" s="9">
        <v>4592</v>
      </c>
      <c r="B4595" s="10" t="s">
        <v>3779</v>
      </c>
      <c r="C4595" s="10" t="s">
        <v>3780</v>
      </c>
      <c r="D4595" s="10" t="s">
        <v>4491</v>
      </c>
      <c r="E4595" s="10" t="str">
        <f>"644020240516125549183324"</f>
        <v>644020240516125549183324</v>
      </c>
      <c r="F4595" s="9"/>
    </row>
    <row r="4596" s="2" customFormat="1" ht="30" customHeight="1" spans="1:6">
      <c r="A4596" s="9">
        <v>4593</v>
      </c>
      <c r="B4596" s="10" t="s">
        <v>3779</v>
      </c>
      <c r="C4596" s="10" t="s">
        <v>3780</v>
      </c>
      <c r="D4596" s="10" t="s">
        <v>4492</v>
      </c>
      <c r="E4596" s="10" t="str">
        <f>"644020240516151557183516"</f>
        <v>644020240516151557183516</v>
      </c>
      <c r="F4596" s="9"/>
    </row>
    <row r="4597" s="2" customFormat="1" ht="30" customHeight="1" spans="1:6">
      <c r="A4597" s="9">
        <v>4594</v>
      </c>
      <c r="B4597" s="10" t="s">
        <v>3779</v>
      </c>
      <c r="C4597" s="10" t="s">
        <v>3780</v>
      </c>
      <c r="D4597" s="10" t="s">
        <v>4493</v>
      </c>
      <c r="E4597" s="10" t="str">
        <f>"644020240516152636183545"</f>
        <v>644020240516152636183545</v>
      </c>
      <c r="F4597" s="9"/>
    </row>
    <row r="4598" s="2" customFormat="1" ht="30" customHeight="1" spans="1:6">
      <c r="A4598" s="9">
        <v>4595</v>
      </c>
      <c r="B4598" s="10" t="s">
        <v>3779</v>
      </c>
      <c r="C4598" s="10" t="s">
        <v>3780</v>
      </c>
      <c r="D4598" s="10" t="s">
        <v>4494</v>
      </c>
      <c r="E4598" s="10" t="str">
        <f>"644020240512183446170415"</f>
        <v>644020240512183446170415</v>
      </c>
      <c r="F4598" s="9"/>
    </row>
    <row r="4599" s="2" customFormat="1" ht="30" customHeight="1" spans="1:6">
      <c r="A4599" s="9">
        <v>4596</v>
      </c>
      <c r="B4599" s="10" t="s">
        <v>3779</v>
      </c>
      <c r="C4599" s="10" t="s">
        <v>3780</v>
      </c>
      <c r="D4599" s="10" t="s">
        <v>4495</v>
      </c>
      <c r="E4599" s="10" t="str">
        <f>"644020240515103538181069"</f>
        <v>644020240515103538181069</v>
      </c>
      <c r="F4599" s="9"/>
    </row>
    <row r="4600" s="2" customFormat="1" ht="30" customHeight="1" spans="1:6">
      <c r="A4600" s="9">
        <v>4597</v>
      </c>
      <c r="B4600" s="10" t="s">
        <v>3779</v>
      </c>
      <c r="C4600" s="10" t="s">
        <v>3780</v>
      </c>
      <c r="D4600" s="10" t="s">
        <v>4496</v>
      </c>
      <c r="E4600" s="10" t="str">
        <f>"644020240516130556183341"</f>
        <v>644020240516130556183341</v>
      </c>
      <c r="F4600" s="9"/>
    </row>
    <row r="4601" s="2" customFormat="1" ht="30" customHeight="1" spans="1:6">
      <c r="A4601" s="9">
        <v>4598</v>
      </c>
      <c r="B4601" s="10" t="s">
        <v>3779</v>
      </c>
      <c r="C4601" s="10" t="s">
        <v>3780</v>
      </c>
      <c r="D4601" s="10" t="s">
        <v>4497</v>
      </c>
      <c r="E4601" s="10" t="str">
        <f>"644020240516154347183574"</f>
        <v>644020240516154347183574</v>
      </c>
      <c r="F4601" s="9"/>
    </row>
    <row r="4602" s="2" customFormat="1" ht="30" customHeight="1" spans="1:6">
      <c r="A4602" s="9">
        <v>4599</v>
      </c>
      <c r="B4602" s="10" t="s">
        <v>3779</v>
      </c>
      <c r="C4602" s="10" t="s">
        <v>3780</v>
      </c>
      <c r="D4602" s="10" t="s">
        <v>4498</v>
      </c>
      <c r="E4602" s="10" t="str">
        <f>"644020240515194429182192"</f>
        <v>644020240515194429182192</v>
      </c>
      <c r="F4602" s="9"/>
    </row>
    <row r="4603" s="2" customFormat="1" ht="30" customHeight="1" spans="1:6">
      <c r="A4603" s="9">
        <v>4600</v>
      </c>
      <c r="B4603" s="10" t="s">
        <v>3779</v>
      </c>
      <c r="C4603" s="10" t="s">
        <v>3780</v>
      </c>
      <c r="D4603" s="10" t="s">
        <v>2678</v>
      </c>
      <c r="E4603" s="10" t="str">
        <f>"644020240516161104183642"</f>
        <v>644020240516161104183642</v>
      </c>
      <c r="F4603" s="9"/>
    </row>
    <row r="4604" s="2" customFormat="1" ht="30" customHeight="1" spans="1:6">
      <c r="A4604" s="9">
        <v>4601</v>
      </c>
      <c r="B4604" s="10" t="s">
        <v>3779</v>
      </c>
      <c r="C4604" s="10" t="s">
        <v>3780</v>
      </c>
      <c r="D4604" s="10" t="s">
        <v>4499</v>
      </c>
      <c r="E4604" s="10" t="str">
        <f>"644020240516160647183632"</f>
        <v>644020240516160647183632</v>
      </c>
      <c r="F4604" s="9"/>
    </row>
    <row r="4605" s="2" customFormat="1" ht="30" customHeight="1" spans="1:6">
      <c r="A4605" s="9">
        <v>4602</v>
      </c>
      <c r="B4605" s="10" t="s">
        <v>3779</v>
      </c>
      <c r="C4605" s="10" t="s">
        <v>3780</v>
      </c>
      <c r="D4605" s="10" t="s">
        <v>4500</v>
      </c>
      <c r="E4605" s="10" t="str">
        <f>"644020240516155820183612"</f>
        <v>644020240516155820183612</v>
      </c>
      <c r="F4605" s="9"/>
    </row>
    <row r="4606" s="2" customFormat="1" ht="30" customHeight="1" spans="1:6">
      <c r="A4606" s="9">
        <v>4603</v>
      </c>
      <c r="B4606" s="10" t="s">
        <v>3779</v>
      </c>
      <c r="C4606" s="10" t="s">
        <v>3780</v>
      </c>
      <c r="D4606" s="10" t="s">
        <v>4501</v>
      </c>
      <c r="E4606" s="10" t="str">
        <f>"644020240514161614179455"</f>
        <v>644020240514161614179455</v>
      </c>
      <c r="F4606" s="9"/>
    </row>
    <row r="4607" s="2" customFormat="1" ht="30" customHeight="1" spans="1:6">
      <c r="A4607" s="9">
        <v>4604</v>
      </c>
      <c r="B4607" s="10" t="s">
        <v>3779</v>
      </c>
      <c r="C4607" s="10" t="s">
        <v>3780</v>
      </c>
      <c r="D4607" s="10" t="s">
        <v>4502</v>
      </c>
      <c r="E4607" s="10" t="str">
        <f>"644020240514172935179707"</f>
        <v>644020240514172935179707</v>
      </c>
      <c r="F4607" s="9"/>
    </row>
    <row r="4608" s="2" customFormat="1" ht="30" customHeight="1" spans="1:6">
      <c r="A4608" s="9">
        <v>4605</v>
      </c>
      <c r="B4608" s="10" t="s">
        <v>3779</v>
      </c>
      <c r="C4608" s="10" t="s">
        <v>3780</v>
      </c>
      <c r="D4608" s="10" t="s">
        <v>4503</v>
      </c>
      <c r="E4608" s="10" t="str">
        <f>"644020240516101030182978"</f>
        <v>644020240516101030182978</v>
      </c>
      <c r="F4608" s="9"/>
    </row>
    <row r="4609" s="2" customFormat="1" ht="30" customHeight="1" spans="1:6">
      <c r="A4609" s="9">
        <v>4606</v>
      </c>
      <c r="B4609" s="10" t="s">
        <v>3779</v>
      </c>
      <c r="C4609" s="10" t="s">
        <v>3780</v>
      </c>
      <c r="D4609" s="10" t="s">
        <v>4504</v>
      </c>
      <c r="E4609" s="10" t="str">
        <f>"644020240516150023183481"</f>
        <v>644020240516150023183481</v>
      </c>
      <c r="F4609" s="9"/>
    </row>
    <row r="4610" s="2" customFormat="1" ht="30" customHeight="1" spans="1:6">
      <c r="A4610" s="9">
        <v>4607</v>
      </c>
      <c r="B4610" s="10" t="s">
        <v>3779</v>
      </c>
      <c r="C4610" s="10" t="s">
        <v>3780</v>
      </c>
      <c r="D4610" s="10" t="s">
        <v>4505</v>
      </c>
      <c r="E4610" s="10" t="str">
        <f>"644020240512093530168269"</f>
        <v>644020240512093530168269</v>
      </c>
      <c r="F4610" s="9"/>
    </row>
    <row r="4611" s="2" customFormat="1" ht="30" customHeight="1" spans="1:6">
      <c r="A4611" s="9">
        <v>4608</v>
      </c>
      <c r="B4611" s="10" t="s">
        <v>3779</v>
      </c>
      <c r="C4611" s="10" t="s">
        <v>3780</v>
      </c>
      <c r="D4611" s="10" t="s">
        <v>4506</v>
      </c>
      <c r="E4611" s="10" t="str">
        <f>"644020240516133924183382"</f>
        <v>644020240516133924183382</v>
      </c>
      <c r="F4611" s="9"/>
    </row>
    <row r="4612" s="2" customFormat="1" ht="30" customHeight="1" spans="1:6">
      <c r="A4612" s="9">
        <v>4609</v>
      </c>
      <c r="B4612" s="10" t="s">
        <v>3779</v>
      </c>
      <c r="C4612" s="10" t="s">
        <v>3780</v>
      </c>
      <c r="D4612" s="10" t="s">
        <v>4507</v>
      </c>
      <c r="E4612" s="10" t="str">
        <f>"644020240516165138183743"</f>
        <v>644020240516165138183743</v>
      </c>
      <c r="F4612" s="9"/>
    </row>
    <row r="4613" s="2" customFormat="1" ht="30" customHeight="1" spans="1:6">
      <c r="A4613" s="9">
        <v>4610</v>
      </c>
      <c r="B4613" s="10" t="s">
        <v>3779</v>
      </c>
      <c r="C4613" s="10" t="s">
        <v>3780</v>
      </c>
      <c r="D4613" s="10" t="s">
        <v>4508</v>
      </c>
      <c r="E4613" s="10" t="str">
        <f>"644020240513215554177203"</f>
        <v>644020240513215554177203</v>
      </c>
      <c r="F4613" s="9"/>
    </row>
    <row r="4614" s="2" customFormat="1" ht="30" customHeight="1" spans="1:6">
      <c r="A4614" s="9">
        <v>4611</v>
      </c>
      <c r="B4614" s="10" t="s">
        <v>3779</v>
      </c>
      <c r="C4614" s="10" t="s">
        <v>3780</v>
      </c>
      <c r="D4614" s="10" t="s">
        <v>4509</v>
      </c>
      <c r="E4614" s="10" t="str">
        <f>"644020240516160939183638"</f>
        <v>644020240516160939183638</v>
      </c>
      <c r="F4614" s="9"/>
    </row>
    <row r="4615" s="2" customFormat="1" ht="30" customHeight="1" spans="1:6">
      <c r="A4615" s="9">
        <v>4612</v>
      </c>
      <c r="B4615" s="10" t="s">
        <v>3779</v>
      </c>
      <c r="C4615" s="10" t="s">
        <v>3780</v>
      </c>
      <c r="D4615" s="10" t="s">
        <v>4510</v>
      </c>
      <c r="E4615" s="10" t="str">
        <f>"644020240516102409183015"</f>
        <v>644020240516102409183015</v>
      </c>
      <c r="F4615" s="9"/>
    </row>
    <row r="4616" s="2" customFormat="1" ht="30" customHeight="1" spans="1:6">
      <c r="A4616" s="9">
        <v>4613</v>
      </c>
      <c r="B4616" s="10" t="s">
        <v>3779</v>
      </c>
      <c r="C4616" s="10" t="s">
        <v>3780</v>
      </c>
      <c r="D4616" s="10" t="s">
        <v>4511</v>
      </c>
      <c r="E4616" s="10" t="str">
        <f>"644020240516160204183622"</f>
        <v>644020240516160204183622</v>
      </c>
      <c r="F4616" s="9"/>
    </row>
    <row r="4617" s="2" customFormat="1" ht="30" customHeight="1" spans="1:6">
      <c r="A4617" s="9">
        <v>4614</v>
      </c>
      <c r="B4617" s="10" t="s">
        <v>3779</v>
      </c>
      <c r="C4617" s="10" t="s">
        <v>3780</v>
      </c>
      <c r="D4617" s="10" t="s">
        <v>4512</v>
      </c>
      <c r="E4617" s="10" t="str">
        <f>"644020240516161646183658"</f>
        <v>644020240516161646183658</v>
      </c>
      <c r="F4617" s="9"/>
    </row>
    <row r="4618" s="2" customFormat="1" ht="30" customHeight="1" spans="1:6">
      <c r="A4618" s="9">
        <v>4615</v>
      </c>
      <c r="B4618" s="10" t="s">
        <v>3779</v>
      </c>
      <c r="C4618" s="10" t="s">
        <v>3780</v>
      </c>
      <c r="D4618" s="10" t="s">
        <v>4513</v>
      </c>
      <c r="E4618" s="10" t="str">
        <f>"644020240516145504183470"</f>
        <v>644020240516145504183470</v>
      </c>
      <c r="F4618" s="9"/>
    </row>
    <row r="4619" s="2" customFormat="1" ht="30" customHeight="1" spans="1:6">
      <c r="A4619" s="9">
        <v>4616</v>
      </c>
      <c r="B4619" s="10" t="s">
        <v>3779</v>
      </c>
      <c r="C4619" s="10" t="s">
        <v>3780</v>
      </c>
      <c r="D4619" s="10" t="s">
        <v>4514</v>
      </c>
      <c r="E4619" s="10" t="str">
        <f>"644020240512095829168374"</f>
        <v>644020240512095829168374</v>
      </c>
      <c r="F4619" s="9"/>
    </row>
    <row r="4620" s="2" customFormat="1" ht="30" customHeight="1" spans="1:6">
      <c r="A4620" s="9">
        <v>4617</v>
      </c>
      <c r="B4620" s="10" t="s">
        <v>3779</v>
      </c>
      <c r="C4620" s="10" t="s">
        <v>3780</v>
      </c>
      <c r="D4620" s="10" t="s">
        <v>4515</v>
      </c>
      <c r="E4620" s="10" t="str">
        <f>"644020240516162032183666"</f>
        <v>644020240516162032183666</v>
      </c>
      <c r="F4620" s="9"/>
    </row>
    <row r="4621" s="2" customFormat="1" ht="30" customHeight="1" spans="1:6">
      <c r="A4621" s="9">
        <v>4618</v>
      </c>
      <c r="B4621" s="10" t="s">
        <v>3779</v>
      </c>
      <c r="C4621" s="10" t="s">
        <v>3780</v>
      </c>
      <c r="D4621" s="10" t="s">
        <v>4516</v>
      </c>
      <c r="E4621" s="10" t="str">
        <f>"644020240516164501183723"</f>
        <v>644020240516164501183723</v>
      </c>
      <c r="F4621" s="9"/>
    </row>
    <row r="4622" s="2" customFormat="1" ht="30" customHeight="1" spans="1:6">
      <c r="A4622" s="9">
        <v>4619</v>
      </c>
      <c r="B4622" s="10" t="s">
        <v>3779</v>
      </c>
      <c r="C4622" s="10" t="s">
        <v>3780</v>
      </c>
      <c r="D4622" s="10" t="s">
        <v>4517</v>
      </c>
      <c r="E4622" s="10" t="str">
        <f>"644020240516171559183808"</f>
        <v>644020240516171559183808</v>
      </c>
      <c r="F4622" s="9"/>
    </row>
    <row r="4623" s="2" customFormat="1" ht="30" customHeight="1" spans="1:6">
      <c r="A4623" s="9">
        <v>4620</v>
      </c>
      <c r="B4623" s="10" t="s">
        <v>3779</v>
      </c>
      <c r="C4623" s="10" t="s">
        <v>3780</v>
      </c>
      <c r="D4623" s="10" t="s">
        <v>4518</v>
      </c>
      <c r="E4623" s="10" t="str">
        <f>"644020240516162702183684"</f>
        <v>644020240516162702183684</v>
      </c>
      <c r="F4623" s="9"/>
    </row>
    <row r="4624" s="2" customFormat="1" ht="30" customHeight="1" spans="1:6">
      <c r="A4624" s="9">
        <v>4621</v>
      </c>
      <c r="B4624" s="10" t="s">
        <v>3779</v>
      </c>
      <c r="C4624" s="10" t="s">
        <v>3780</v>
      </c>
      <c r="D4624" s="10" t="s">
        <v>4519</v>
      </c>
      <c r="E4624" s="10" t="str">
        <f>"644020240516121551183252"</f>
        <v>644020240516121551183252</v>
      </c>
      <c r="F4624" s="9"/>
    </row>
    <row r="4625" s="2" customFormat="1" ht="30" customHeight="1" spans="1:6">
      <c r="A4625" s="9">
        <v>4622</v>
      </c>
      <c r="B4625" s="10" t="s">
        <v>3779</v>
      </c>
      <c r="C4625" s="10" t="s">
        <v>3780</v>
      </c>
      <c r="D4625" s="10" t="s">
        <v>4520</v>
      </c>
      <c r="E4625" s="10" t="str">
        <f>"644020240516172108183815"</f>
        <v>644020240516172108183815</v>
      </c>
      <c r="F4625" s="9"/>
    </row>
    <row r="4626" s="2" customFormat="1" ht="30" customHeight="1" spans="1:6">
      <c r="A4626" s="9">
        <v>4623</v>
      </c>
      <c r="B4626" s="10" t="s">
        <v>3779</v>
      </c>
      <c r="C4626" s="10" t="s">
        <v>3780</v>
      </c>
      <c r="D4626" s="10" t="s">
        <v>4521</v>
      </c>
      <c r="E4626" s="10" t="str">
        <f>"644020240516165054183741"</f>
        <v>644020240516165054183741</v>
      </c>
      <c r="F4626" s="9"/>
    </row>
    <row r="4627" s="2" customFormat="1" ht="30" customHeight="1" spans="1:6">
      <c r="A4627" s="9">
        <v>4624</v>
      </c>
      <c r="B4627" s="10" t="s">
        <v>3779</v>
      </c>
      <c r="C4627" s="10" t="s">
        <v>3780</v>
      </c>
      <c r="D4627" s="10" t="s">
        <v>4522</v>
      </c>
      <c r="E4627" s="10" t="str">
        <f>"644020240516164105183713"</f>
        <v>644020240516164105183713</v>
      </c>
      <c r="F4627" s="9"/>
    </row>
    <row r="4628" s="2" customFormat="1" ht="30" customHeight="1" spans="1:6">
      <c r="A4628" s="9">
        <v>4625</v>
      </c>
      <c r="B4628" s="10" t="s">
        <v>3779</v>
      </c>
      <c r="C4628" s="10" t="s">
        <v>3780</v>
      </c>
      <c r="D4628" s="10" t="s">
        <v>4523</v>
      </c>
      <c r="E4628" s="10" t="str">
        <f>"644020240516143944183444"</f>
        <v>644020240516143944183444</v>
      </c>
      <c r="F4628" s="9"/>
    </row>
    <row r="4629" s="2" customFormat="1" ht="30" customHeight="1" spans="1:6">
      <c r="A4629" s="9">
        <v>4626</v>
      </c>
      <c r="B4629" s="10" t="s">
        <v>3779</v>
      </c>
      <c r="C4629" s="10" t="s">
        <v>3780</v>
      </c>
      <c r="D4629" s="10" t="s">
        <v>4524</v>
      </c>
      <c r="E4629" s="10" t="str">
        <f>"644020240516101908183001"</f>
        <v>644020240516101908183001</v>
      </c>
      <c r="F4629" s="9"/>
    </row>
    <row r="4630" s="2" customFormat="1" ht="30" customHeight="1" spans="1:6">
      <c r="A4630" s="9">
        <v>4627</v>
      </c>
      <c r="B4630" s="10" t="s">
        <v>3779</v>
      </c>
      <c r="C4630" s="10" t="s">
        <v>3780</v>
      </c>
      <c r="D4630" s="10" t="s">
        <v>4525</v>
      </c>
      <c r="E4630" s="10" t="str">
        <f>"644020240516172323183819"</f>
        <v>644020240516172323183819</v>
      </c>
      <c r="F4630" s="9"/>
    </row>
    <row r="4631" s="2" customFormat="1" ht="30" customHeight="1" spans="1:6">
      <c r="A4631" s="9">
        <v>4628</v>
      </c>
      <c r="B4631" s="10" t="s">
        <v>3779</v>
      </c>
      <c r="C4631" s="10" t="s">
        <v>3780</v>
      </c>
      <c r="D4631" s="10" t="s">
        <v>4526</v>
      </c>
      <c r="E4631" s="10" t="str">
        <f>"644020240516162348183674"</f>
        <v>644020240516162348183674</v>
      </c>
      <c r="F4631" s="9"/>
    </row>
    <row r="4632" s="2" customFormat="1" ht="30" customHeight="1" spans="1:6">
      <c r="A4632" s="9">
        <v>4629</v>
      </c>
      <c r="B4632" s="10" t="s">
        <v>3779</v>
      </c>
      <c r="C4632" s="10" t="s">
        <v>3780</v>
      </c>
      <c r="D4632" s="10" t="s">
        <v>4527</v>
      </c>
      <c r="E4632" s="10" t="str">
        <f>"644020240516164153183714"</f>
        <v>644020240516164153183714</v>
      </c>
      <c r="F4632" s="9"/>
    </row>
    <row r="4633" s="2" customFormat="1" ht="30" customHeight="1" spans="1:6">
      <c r="A4633" s="9">
        <v>4630</v>
      </c>
      <c r="B4633" s="10" t="s">
        <v>3779</v>
      </c>
      <c r="C4633" s="10" t="s">
        <v>3780</v>
      </c>
      <c r="D4633" s="10" t="s">
        <v>4528</v>
      </c>
      <c r="E4633" s="10" t="str">
        <f>"644020240516170743183785"</f>
        <v>644020240516170743183785</v>
      </c>
      <c r="F4633" s="9"/>
    </row>
    <row r="4634" s="2" customFormat="1" ht="30" customHeight="1" spans="1:6">
      <c r="A4634" s="9">
        <v>4631</v>
      </c>
      <c r="B4634" s="10" t="s">
        <v>3779</v>
      </c>
      <c r="C4634" s="10" t="s">
        <v>3780</v>
      </c>
      <c r="D4634" s="10" t="s">
        <v>4529</v>
      </c>
      <c r="E4634" s="10" t="str">
        <f>"644020240516082158182758"</f>
        <v>644020240516082158182758</v>
      </c>
      <c r="F4634" s="9"/>
    </row>
    <row r="4635" s="2" customFormat="1" ht="30" customHeight="1" spans="1:6">
      <c r="A4635" s="9">
        <v>4632</v>
      </c>
      <c r="B4635" s="10" t="s">
        <v>3779</v>
      </c>
      <c r="C4635" s="10" t="s">
        <v>3780</v>
      </c>
      <c r="D4635" s="10" t="s">
        <v>4530</v>
      </c>
      <c r="E4635" s="10" t="str">
        <f>"644020240516105348183089"</f>
        <v>644020240516105348183089</v>
      </c>
      <c r="F4635" s="9"/>
    </row>
    <row r="4636" s="2" customFormat="1" ht="30" customHeight="1" spans="1:6">
      <c r="A4636" s="9">
        <v>4633</v>
      </c>
      <c r="B4636" s="10" t="s">
        <v>3779</v>
      </c>
      <c r="C4636" s="10" t="s">
        <v>3780</v>
      </c>
      <c r="D4636" s="10" t="s">
        <v>4531</v>
      </c>
      <c r="E4636" s="10" t="str">
        <f>"644020240515220448182346"</f>
        <v>644020240515220448182346</v>
      </c>
      <c r="F4636" s="9"/>
    </row>
    <row r="4637" s="2" customFormat="1" ht="30" customHeight="1" spans="1:6">
      <c r="A4637" s="9">
        <v>4634</v>
      </c>
      <c r="B4637" s="10" t="s">
        <v>3779</v>
      </c>
      <c r="C4637" s="10" t="s">
        <v>3780</v>
      </c>
      <c r="D4637" s="10" t="s">
        <v>4532</v>
      </c>
      <c r="E4637" s="10" t="str">
        <f>"644020240515220246182335"</f>
        <v>644020240515220246182335</v>
      </c>
      <c r="F4637" s="9"/>
    </row>
    <row r="4638" s="2" customFormat="1" ht="30" customHeight="1" spans="1:6">
      <c r="A4638" s="9">
        <v>4635</v>
      </c>
      <c r="B4638" s="10" t="s">
        <v>3779</v>
      </c>
      <c r="C4638" s="10" t="s">
        <v>3780</v>
      </c>
      <c r="D4638" s="10" t="s">
        <v>4533</v>
      </c>
      <c r="E4638" s="10" t="str">
        <f>"644020240516170823183790"</f>
        <v>644020240516170823183790</v>
      </c>
      <c r="F4638" s="9"/>
    </row>
    <row r="4639" s="2" customFormat="1" ht="30" customHeight="1" spans="1:6">
      <c r="A4639" s="9">
        <v>4636</v>
      </c>
      <c r="B4639" s="10" t="s">
        <v>3779</v>
      </c>
      <c r="C4639" s="10" t="s">
        <v>3780</v>
      </c>
      <c r="D4639" s="10" t="s">
        <v>4534</v>
      </c>
      <c r="E4639" s="10" t="str">
        <f>"644020240515162634181851"</f>
        <v>644020240515162634181851</v>
      </c>
      <c r="F4639" s="9"/>
    </row>
    <row r="4640" s="2" customFormat="1" ht="30" customHeight="1" spans="1:6">
      <c r="A4640" s="9">
        <v>4637</v>
      </c>
      <c r="B4640" s="10" t="s">
        <v>3779</v>
      </c>
      <c r="C4640" s="10" t="s">
        <v>3780</v>
      </c>
      <c r="D4640" s="10" t="s">
        <v>4535</v>
      </c>
      <c r="E4640" s="10" t="str">
        <f>"644020240516175555183872"</f>
        <v>644020240516175555183872</v>
      </c>
      <c r="F4640" s="9"/>
    </row>
    <row r="4641" s="2" customFormat="1" ht="30" customHeight="1" spans="1:6">
      <c r="A4641" s="9">
        <v>4638</v>
      </c>
      <c r="B4641" s="10" t="s">
        <v>3779</v>
      </c>
      <c r="C4641" s="10" t="s">
        <v>3780</v>
      </c>
      <c r="D4641" s="10" t="s">
        <v>4536</v>
      </c>
      <c r="E4641" s="10" t="str">
        <f>"644020240515075718180661"</f>
        <v>644020240515075718180661</v>
      </c>
      <c r="F4641" s="9"/>
    </row>
    <row r="4642" s="2" customFormat="1" ht="30" customHeight="1" spans="1:6">
      <c r="A4642" s="9">
        <v>4639</v>
      </c>
      <c r="B4642" s="10" t="s">
        <v>3779</v>
      </c>
      <c r="C4642" s="10" t="s">
        <v>3780</v>
      </c>
      <c r="D4642" s="10" t="s">
        <v>4537</v>
      </c>
      <c r="E4642" s="10" t="str">
        <f>"644020240516181258183900"</f>
        <v>644020240516181258183900</v>
      </c>
      <c r="F4642" s="9"/>
    </row>
    <row r="4643" s="2" customFormat="1" ht="30" customHeight="1" spans="1:6">
      <c r="A4643" s="9">
        <v>4640</v>
      </c>
      <c r="B4643" s="10" t="s">
        <v>3779</v>
      </c>
      <c r="C4643" s="10" t="s">
        <v>3780</v>
      </c>
      <c r="D4643" s="10" t="s">
        <v>4538</v>
      </c>
      <c r="E4643" s="10" t="str">
        <f>"644020240515130313181420"</f>
        <v>644020240515130313181420</v>
      </c>
      <c r="F4643" s="9"/>
    </row>
    <row r="4644" s="2" customFormat="1" ht="30" customHeight="1" spans="1:6">
      <c r="A4644" s="9">
        <v>4641</v>
      </c>
      <c r="B4644" s="10" t="s">
        <v>3779</v>
      </c>
      <c r="C4644" s="10" t="s">
        <v>3780</v>
      </c>
      <c r="D4644" s="10" t="s">
        <v>4539</v>
      </c>
      <c r="E4644" s="10" t="str">
        <f>"644020240515113005181244"</f>
        <v>644020240515113005181244</v>
      </c>
      <c r="F4644" s="9"/>
    </row>
    <row r="4645" s="2" customFormat="1" ht="30" customHeight="1" spans="1:6">
      <c r="A4645" s="9">
        <v>4642</v>
      </c>
      <c r="B4645" s="10" t="s">
        <v>3779</v>
      </c>
      <c r="C4645" s="10" t="s">
        <v>3780</v>
      </c>
      <c r="D4645" s="10" t="s">
        <v>4540</v>
      </c>
      <c r="E4645" s="10" t="str">
        <f>"644020240516184158183952"</f>
        <v>644020240516184158183952</v>
      </c>
      <c r="F4645" s="9"/>
    </row>
    <row r="4646" s="2" customFormat="1" ht="30" customHeight="1" spans="1:6">
      <c r="A4646" s="9">
        <v>4643</v>
      </c>
      <c r="B4646" s="10" t="s">
        <v>3779</v>
      </c>
      <c r="C4646" s="10" t="s">
        <v>3780</v>
      </c>
      <c r="D4646" s="10" t="s">
        <v>4541</v>
      </c>
      <c r="E4646" s="10" t="str">
        <f>"644020240516154039183568"</f>
        <v>644020240516154039183568</v>
      </c>
      <c r="F4646" s="9"/>
    </row>
    <row r="4647" s="2" customFormat="1" ht="30" customHeight="1" spans="1:6">
      <c r="A4647" s="9">
        <v>4644</v>
      </c>
      <c r="B4647" s="10" t="s">
        <v>3779</v>
      </c>
      <c r="C4647" s="10" t="s">
        <v>3780</v>
      </c>
      <c r="D4647" s="10" t="s">
        <v>4542</v>
      </c>
      <c r="E4647" s="10" t="str">
        <f>"644020240516184438183957"</f>
        <v>644020240516184438183957</v>
      </c>
      <c r="F4647" s="9"/>
    </row>
    <row r="4648" s="2" customFormat="1" ht="30" customHeight="1" spans="1:6">
      <c r="A4648" s="9">
        <v>4645</v>
      </c>
      <c r="B4648" s="10" t="s">
        <v>3779</v>
      </c>
      <c r="C4648" s="10" t="s">
        <v>3780</v>
      </c>
      <c r="D4648" s="10" t="s">
        <v>2627</v>
      </c>
      <c r="E4648" s="10" t="str">
        <f>"644020240516191233183993"</f>
        <v>644020240516191233183993</v>
      </c>
      <c r="F4648" s="9"/>
    </row>
    <row r="4649" s="2" customFormat="1" ht="30" customHeight="1" spans="1:6">
      <c r="A4649" s="9">
        <v>4646</v>
      </c>
      <c r="B4649" s="10" t="s">
        <v>3779</v>
      </c>
      <c r="C4649" s="10" t="s">
        <v>3780</v>
      </c>
      <c r="D4649" s="10" t="s">
        <v>4543</v>
      </c>
      <c r="E4649" s="10" t="str">
        <f>"644020240516190945183988"</f>
        <v>644020240516190945183988</v>
      </c>
      <c r="F4649" s="9"/>
    </row>
    <row r="4650" s="2" customFormat="1" ht="30" customHeight="1" spans="1:6">
      <c r="A4650" s="9">
        <v>4647</v>
      </c>
      <c r="B4650" s="10" t="s">
        <v>3779</v>
      </c>
      <c r="C4650" s="10" t="s">
        <v>3780</v>
      </c>
      <c r="D4650" s="10" t="s">
        <v>2146</v>
      </c>
      <c r="E4650" s="10" t="str">
        <f>"644020240516190149183977"</f>
        <v>644020240516190149183977</v>
      </c>
      <c r="F4650" s="9"/>
    </row>
    <row r="4651" s="2" customFormat="1" ht="30" customHeight="1" spans="1:6">
      <c r="A4651" s="9">
        <v>4648</v>
      </c>
      <c r="B4651" s="10" t="s">
        <v>3779</v>
      </c>
      <c r="C4651" s="10" t="s">
        <v>3780</v>
      </c>
      <c r="D4651" s="10" t="s">
        <v>4544</v>
      </c>
      <c r="E4651" s="10" t="str">
        <f>"644020240516190251183979"</f>
        <v>644020240516190251183979</v>
      </c>
      <c r="F4651" s="9"/>
    </row>
    <row r="4652" s="2" customFormat="1" ht="30" customHeight="1" spans="1:6">
      <c r="A4652" s="9">
        <v>4649</v>
      </c>
      <c r="B4652" s="10" t="s">
        <v>3779</v>
      </c>
      <c r="C4652" s="10" t="s">
        <v>3780</v>
      </c>
      <c r="D4652" s="10" t="s">
        <v>4545</v>
      </c>
      <c r="E4652" s="10" t="str">
        <f>"644020240516192800184014"</f>
        <v>644020240516192800184014</v>
      </c>
      <c r="F4652" s="9"/>
    </row>
    <row r="4653" s="2" customFormat="1" ht="30" customHeight="1" spans="1:6">
      <c r="A4653" s="9">
        <v>4650</v>
      </c>
      <c r="B4653" s="10" t="s">
        <v>3779</v>
      </c>
      <c r="C4653" s="10" t="s">
        <v>3780</v>
      </c>
      <c r="D4653" s="10" t="s">
        <v>4546</v>
      </c>
      <c r="E4653" s="10" t="str">
        <f>"644020240516152632183544"</f>
        <v>644020240516152632183544</v>
      </c>
      <c r="F4653" s="9"/>
    </row>
    <row r="4654" s="2" customFormat="1" ht="30" customHeight="1" spans="1:6">
      <c r="A4654" s="9">
        <v>4651</v>
      </c>
      <c r="B4654" s="10" t="s">
        <v>3779</v>
      </c>
      <c r="C4654" s="10" t="s">
        <v>3780</v>
      </c>
      <c r="D4654" s="10" t="s">
        <v>4547</v>
      </c>
      <c r="E4654" s="10" t="str">
        <f>"644020240516184851183962"</f>
        <v>644020240516184851183962</v>
      </c>
      <c r="F4654" s="9"/>
    </row>
    <row r="4655" s="2" customFormat="1" ht="30" customHeight="1" spans="1:6">
      <c r="A4655" s="9">
        <v>4652</v>
      </c>
      <c r="B4655" s="10" t="s">
        <v>3779</v>
      </c>
      <c r="C4655" s="10" t="s">
        <v>3780</v>
      </c>
      <c r="D4655" s="10" t="s">
        <v>4548</v>
      </c>
      <c r="E4655" s="10" t="str">
        <f>"644020240516181246183899"</f>
        <v>644020240516181246183899</v>
      </c>
      <c r="F4655" s="9"/>
    </row>
    <row r="4656" s="2" customFormat="1" ht="30" customHeight="1" spans="1:6">
      <c r="A4656" s="9">
        <v>4653</v>
      </c>
      <c r="B4656" s="10" t="s">
        <v>3779</v>
      </c>
      <c r="C4656" s="10" t="s">
        <v>3780</v>
      </c>
      <c r="D4656" s="10" t="s">
        <v>4549</v>
      </c>
      <c r="E4656" s="10" t="str">
        <f>"644020240516185548183969"</f>
        <v>644020240516185548183969</v>
      </c>
      <c r="F4656" s="9"/>
    </row>
    <row r="4657" s="2" customFormat="1" ht="30" customHeight="1" spans="1:6">
      <c r="A4657" s="9">
        <v>4654</v>
      </c>
      <c r="B4657" s="10" t="s">
        <v>3779</v>
      </c>
      <c r="C4657" s="10" t="s">
        <v>3780</v>
      </c>
      <c r="D4657" s="10" t="s">
        <v>4550</v>
      </c>
      <c r="E4657" s="10" t="str">
        <f>"644020240516191526183996"</f>
        <v>644020240516191526183996</v>
      </c>
      <c r="F4657" s="9"/>
    </row>
    <row r="4658" s="2" customFormat="1" ht="30" customHeight="1" spans="1:6">
      <c r="A4658" s="9">
        <v>4655</v>
      </c>
      <c r="B4658" s="10" t="s">
        <v>3779</v>
      </c>
      <c r="C4658" s="10" t="s">
        <v>3780</v>
      </c>
      <c r="D4658" s="10" t="s">
        <v>4551</v>
      </c>
      <c r="E4658" s="10" t="str">
        <f>"644020240516151051183503"</f>
        <v>644020240516151051183503</v>
      </c>
      <c r="F4658" s="9"/>
    </row>
    <row r="4659" s="2" customFormat="1" ht="30" customHeight="1" spans="1:6">
      <c r="A4659" s="9">
        <v>4656</v>
      </c>
      <c r="B4659" s="10" t="s">
        <v>3779</v>
      </c>
      <c r="C4659" s="10" t="s">
        <v>3780</v>
      </c>
      <c r="D4659" s="10" t="s">
        <v>4552</v>
      </c>
      <c r="E4659" s="10" t="str">
        <f>"644020240512223713171533"</f>
        <v>644020240512223713171533</v>
      </c>
      <c r="F4659" s="9"/>
    </row>
    <row r="4660" s="2" customFormat="1" ht="30" customHeight="1" spans="1:6">
      <c r="A4660" s="9">
        <v>4657</v>
      </c>
      <c r="B4660" s="10" t="s">
        <v>3779</v>
      </c>
      <c r="C4660" s="10" t="s">
        <v>3780</v>
      </c>
      <c r="D4660" s="10" t="s">
        <v>4553</v>
      </c>
      <c r="E4660" s="10" t="str">
        <f>"644020240516200154184033"</f>
        <v>644020240516200154184033</v>
      </c>
      <c r="F4660" s="9"/>
    </row>
    <row r="4661" s="2" customFormat="1" ht="30" customHeight="1" spans="1:6">
      <c r="A4661" s="9">
        <v>4658</v>
      </c>
      <c r="B4661" s="10" t="s">
        <v>3779</v>
      </c>
      <c r="C4661" s="10" t="s">
        <v>3780</v>
      </c>
      <c r="D4661" s="10" t="s">
        <v>4554</v>
      </c>
      <c r="E4661" s="10" t="str">
        <f>"644020240516203020184058"</f>
        <v>644020240516203020184058</v>
      </c>
      <c r="F4661" s="9"/>
    </row>
    <row r="4662" s="2" customFormat="1" ht="30" customHeight="1" spans="1:6">
      <c r="A4662" s="9">
        <v>4659</v>
      </c>
      <c r="B4662" s="10" t="s">
        <v>3779</v>
      </c>
      <c r="C4662" s="10" t="s">
        <v>3780</v>
      </c>
      <c r="D4662" s="10" t="s">
        <v>4555</v>
      </c>
      <c r="E4662" s="10" t="str">
        <f>"644020240516202736184048"</f>
        <v>644020240516202736184048</v>
      </c>
      <c r="F4662" s="9"/>
    </row>
    <row r="4663" s="2" customFormat="1" ht="30" customHeight="1" spans="1:6">
      <c r="A4663" s="9">
        <v>4660</v>
      </c>
      <c r="B4663" s="10" t="s">
        <v>3779</v>
      </c>
      <c r="C4663" s="10" t="s">
        <v>3780</v>
      </c>
      <c r="D4663" s="10" t="s">
        <v>4556</v>
      </c>
      <c r="E4663" s="10" t="str">
        <f>"644020240516152149183534"</f>
        <v>644020240516152149183534</v>
      </c>
      <c r="F4663" s="9"/>
    </row>
    <row r="4664" s="2" customFormat="1" ht="30" customHeight="1" spans="1:6">
      <c r="A4664" s="9">
        <v>4661</v>
      </c>
      <c r="B4664" s="10" t="s">
        <v>3779</v>
      </c>
      <c r="C4664" s="10" t="s">
        <v>3780</v>
      </c>
      <c r="D4664" s="10" t="s">
        <v>4557</v>
      </c>
      <c r="E4664" s="10" t="str">
        <f>"644020240515143031181564"</f>
        <v>644020240515143031181564</v>
      </c>
      <c r="F4664" s="9"/>
    </row>
    <row r="4665" s="2" customFormat="1" ht="30" customHeight="1" spans="1:6">
      <c r="A4665" s="9">
        <v>4662</v>
      </c>
      <c r="B4665" s="10" t="s">
        <v>3779</v>
      </c>
      <c r="C4665" s="10" t="s">
        <v>3780</v>
      </c>
      <c r="D4665" s="10" t="s">
        <v>4558</v>
      </c>
      <c r="E4665" s="10" t="str">
        <f>"644020240512232708171810"</f>
        <v>644020240512232708171810</v>
      </c>
      <c r="F4665" s="9"/>
    </row>
    <row r="4666" s="2" customFormat="1" ht="30" customHeight="1" spans="1:6">
      <c r="A4666" s="9">
        <v>4663</v>
      </c>
      <c r="B4666" s="10" t="s">
        <v>3779</v>
      </c>
      <c r="C4666" s="10" t="s">
        <v>3780</v>
      </c>
      <c r="D4666" s="10" t="s">
        <v>4559</v>
      </c>
      <c r="E4666" s="10" t="str">
        <f>"644020240515183852182102"</f>
        <v>644020240515183852182102</v>
      </c>
      <c r="F4666" s="9"/>
    </row>
    <row r="4667" s="2" customFormat="1" ht="30" customHeight="1" spans="1:6">
      <c r="A4667" s="9">
        <v>4664</v>
      </c>
      <c r="B4667" s="10" t="s">
        <v>3779</v>
      </c>
      <c r="C4667" s="10" t="s">
        <v>3780</v>
      </c>
      <c r="D4667" s="10" t="s">
        <v>4560</v>
      </c>
      <c r="E4667" s="10" t="str">
        <f>"644020240516203909184087"</f>
        <v>644020240516203909184087</v>
      </c>
      <c r="F4667" s="9"/>
    </row>
    <row r="4668" s="2" customFormat="1" ht="30" customHeight="1" spans="1:6">
      <c r="A4668" s="9">
        <v>4665</v>
      </c>
      <c r="B4668" s="10" t="s">
        <v>3779</v>
      </c>
      <c r="C4668" s="10" t="s">
        <v>3780</v>
      </c>
      <c r="D4668" s="10" t="s">
        <v>4561</v>
      </c>
      <c r="E4668" s="10" t="str">
        <f>"644020240512214842171260"</f>
        <v>644020240512214842171260</v>
      </c>
      <c r="F4668" s="9"/>
    </row>
    <row r="4669" s="2" customFormat="1" ht="30" customHeight="1" spans="1:6">
      <c r="A4669" s="9">
        <v>4666</v>
      </c>
      <c r="B4669" s="10" t="s">
        <v>3779</v>
      </c>
      <c r="C4669" s="10" t="s">
        <v>3780</v>
      </c>
      <c r="D4669" s="10" t="s">
        <v>4562</v>
      </c>
      <c r="E4669" s="10" t="str">
        <f>"644020240514190301179893"</f>
        <v>644020240514190301179893</v>
      </c>
      <c r="F4669" s="9"/>
    </row>
    <row r="4670" s="2" customFormat="1" ht="30" customHeight="1" spans="1:6">
      <c r="A4670" s="9">
        <v>4667</v>
      </c>
      <c r="B4670" s="10" t="s">
        <v>3779</v>
      </c>
      <c r="C4670" s="10" t="s">
        <v>3780</v>
      </c>
      <c r="D4670" s="10" t="s">
        <v>4563</v>
      </c>
      <c r="E4670" s="10" t="str">
        <f>"644020240516203900184086"</f>
        <v>644020240516203900184086</v>
      </c>
      <c r="F4670" s="9"/>
    </row>
    <row r="4671" s="2" customFormat="1" ht="30" customHeight="1" spans="1:6">
      <c r="A4671" s="9">
        <v>4668</v>
      </c>
      <c r="B4671" s="10" t="s">
        <v>3779</v>
      </c>
      <c r="C4671" s="10" t="s">
        <v>3780</v>
      </c>
      <c r="D4671" s="10" t="s">
        <v>4564</v>
      </c>
      <c r="E4671" s="10" t="str">
        <f>"644020240514161537179449"</f>
        <v>644020240514161537179449</v>
      </c>
      <c r="F4671" s="9"/>
    </row>
    <row r="4672" s="2" customFormat="1" ht="30" customHeight="1" spans="1:6">
      <c r="A4672" s="9">
        <v>4669</v>
      </c>
      <c r="B4672" s="10" t="s">
        <v>3779</v>
      </c>
      <c r="C4672" s="10" t="s">
        <v>3780</v>
      </c>
      <c r="D4672" s="10" t="s">
        <v>4565</v>
      </c>
      <c r="E4672" s="10" t="str">
        <f>"644020240515231817182544"</f>
        <v>644020240515231817182544</v>
      </c>
      <c r="F4672" s="9"/>
    </row>
    <row r="4673" s="2" customFormat="1" ht="30" customHeight="1" spans="1:6">
      <c r="A4673" s="9">
        <v>4670</v>
      </c>
      <c r="B4673" s="10" t="s">
        <v>3779</v>
      </c>
      <c r="C4673" s="10" t="s">
        <v>3780</v>
      </c>
      <c r="D4673" s="10" t="s">
        <v>4566</v>
      </c>
      <c r="E4673" s="10" t="str">
        <f>"644020240513150029175189"</f>
        <v>644020240513150029175189</v>
      </c>
      <c r="F4673" s="9"/>
    </row>
    <row r="4674" s="2" customFormat="1" ht="30" customHeight="1" spans="1:6">
      <c r="A4674" s="9">
        <v>4671</v>
      </c>
      <c r="B4674" s="10" t="s">
        <v>3779</v>
      </c>
      <c r="C4674" s="10" t="s">
        <v>3780</v>
      </c>
      <c r="D4674" s="10" t="s">
        <v>4567</v>
      </c>
      <c r="E4674" s="10" t="str">
        <f>"644020240515223341182433"</f>
        <v>644020240515223341182433</v>
      </c>
      <c r="F4674" s="9"/>
    </row>
    <row r="4675" s="2" customFormat="1" ht="30" customHeight="1" spans="1:6">
      <c r="A4675" s="9">
        <v>4672</v>
      </c>
      <c r="B4675" s="10" t="s">
        <v>3779</v>
      </c>
      <c r="C4675" s="10" t="s">
        <v>3780</v>
      </c>
      <c r="D4675" s="10" t="s">
        <v>4568</v>
      </c>
      <c r="E4675" s="10" t="str">
        <f>"644020240516214621184183"</f>
        <v>644020240516214621184183</v>
      </c>
      <c r="F4675" s="9"/>
    </row>
    <row r="4676" s="2" customFormat="1" ht="30" customHeight="1" spans="1:6">
      <c r="A4676" s="9">
        <v>4673</v>
      </c>
      <c r="B4676" s="10" t="s">
        <v>3779</v>
      </c>
      <c r="C4676" s="10" t="s">
        <v>3780</v>
      </c>
      <c r="D4676" s="10" t="s">
        <v>4569</v>
      </c>
      <c r="E4676" s="10" t="str">
        <f>"644020240516214952184189"</f>
        <v>644020240516214952184189</v>
      </c>
      <c r="F4676" s="9"/>
    </row>
    <row r="4677" s="2" customFormat="1" ht="30" customHeight="1" spans="1:6">
      <c r="A4677" s="9">
        <v>4674</v>
      </c>
      <c r="B4677" s="10" t="s">
        <v>3779</v>
      </c>
      <c r="C4677" s="10" t="s">
        <v>3780</v>
      </c>
      <c r="D4677" s="10" t="s">
        <v>4570</v>
      </c>
      <c r="E4677" s="10" t="str">
        <f>"644020240516213450184151"</f>
        <v>644020240516213450184151</v>
      </c>
      <c r="F4677" s="9"/>
    </row>
    <row r="4678" s="2" customFormat="1" ht="30" customHeight="1" spans="1:6">
      <c r="A4678" s="9">
        <v>4675</v>
      </c>
      <c r="B4678" s="10" t="s">
        <v>3779</v>
      </c>
      <c r="C4678" s="10" t="s">
        <v>3780</v>
      </c>
      <c r="D4678" s="10" t="s">
        <v>4571</v>
      </c>
      <c r="E4678" s="10" t="str">
        <f>"644020240516215934184228"</f>
        <v>644020240516215934184228</v>
      </c>
      <c r="F4678" s="9"/>
    </row>
    <row r="4679" s="2" customFormat="1" ht="30" customHeight="1" spans="1:6">
      <c r="A4679" s="9">
        <v>4676</v>
      </c>
      <c r="B4679" s="10" t="s">
        <v>3779</v>
      </c>
      <c r="C4679" s="10" t="s">
        <v>3780</v>
      </c>
      <c r="D4679" s="10" t="s">
        <v>4572</v>
      </c>
      <c r="E4679" s="10" t="str">
        <f>"644020240516215722184211"</f>
        <v>644020240516215722184211</v>
      </c>
      <c r="F4679" s="9"/>
    </row>
    <row r="4680" s="2" customFormat="1" ht="30" customHeight="1" spans="1:6">
      <c r="A4680" s="9">
        <v>4677</v>
      </c>
      <c r="B4680" s="10" t="s">
        <v>3779</v>
      </c>
      <c r="C4680" s="10" t="s">
        <v>3780</v>
      </c>
      <c r="D4680" s="10" t="s">
        <v>4573</v>
      </c>
      <c r="E4680" s="10" t="str">
        <f>"644020240516213457184153"</f>
        <v>644020240516213457184153</v>
      </c>
      <c r="F4680" s="9"/>
    </row>
    <row r="4681" s="2" customFormat="1" ht="30" customHeight="1" spans="1:6">
      <c r="A4681" s="9">
        <v>4678</v>
      </c>
      <c r="B4681" s="10" t="s">
        <v>3779</v>
      </c>
      <c r="C4681" s="10" t="s">
        <v>3780</v>
      </c>
      <c r="D4681" s="10" t="s">
        <v>4574</v>
      </c>
      <c r="E4681" s="10" t="str">
        <f>"644020240512162743169990"</f>
        <v>644020240512162743169990</v>
      </c>
      <c r="F4681" s="9"/>
    </row>
    <row r="4682" s="2" customFormat="1" ht="30" customHeight="1" spans="1:6">
      <c r="A4682" s="9">
        <v>4679</v>
      </c>
      <c r="B4682" s="10" t="s">
        <v>3779</v>
      </c>
      <c r="C4682" s="10" t="s">
        <v>3780</v>
      </c>
      <c r="D4682" s="10" t="s">
        <v>4575</v>
      </c>
      <c r="E4682" s="10" t="str">
        <f>"644020240516173549183844"</f>
        <v>644020240516173549183844</v>
      </c>
      <c r="F4682" s="9"/>
    </row>
    <row r="4683" s="2" customFormat="1" ht="30" customHeight="1" spans="1:6">
      <c r="A4683" s="9">
        <v>4680</v>
      </c>
      <c r="B4683" s="10" t="s">
        <v>3779</v>
      </c>
      <c r="C4683" s="10" t="s">
        <v>3780</v>
      </c>
      <c r="D4683" s="10" t="s">
        <v>4576</v>
      </c>
      <c r="E4683" s="10" t="str">
        <f>"644020240516215724184212"</f>
        <v>644020240516215724184212</v>
      </c>
      <c r="F4683" s="9"/>
    </row>
    <row r="4684" s="2" customFormat="1" ht="30" customHeight="1" spans="1:6">
      <c r="A4684" s="9">
        <v>4681</v>
      </c>
      <c r="B4684" s="10" t="s">
        <v>3779</v>
      </c>
      <c r="C4684" s="10" t="s">
        <v>3780</v>
      </c>
      <c r="D4684" s="10" t="s">
        <v>4577</v>
      </c>
      <c r="E4684" s="10" t="str">
        <f>"644020240516133945183383"</f>
        <v>644020240516133945183383</v>
      </c>
      <c r="F4684" s="9"/>
    </row>
    <row r="4685" s="2" customFormat="1" ht="30" customHeight="1" spans="1:6">
      <c r="A4685" s="9">
        <v>4682</v>
      </c>
      <c r="B4685" s="10" t="s">
        <v>3779</v>
      </c>
      <c r="C4685" s="10" t="s">
        <v>3780</v>
      </c>
      <c r="D4685" s="10" t="s">
        <v>4578</v>
      </c>
      <c r="E4685" s="10" t="str">
        <f>"644020240516224404184325"</f>
        <v>644020240516224404184325</v>
      </c>
      <c r="F4685" s="9"/>
    </row>
    <row r="4686" s="2" customFormat="1" ht="30" customHeight="1" spans="1:6">
      <c r="A4686" s="9">
        <v>4683</v>
      </c>
      <c r="B4686" s="10" t="s">
        <v>3779</v>
      </c>
      <c r="C4686" s="10" t="s">
        <v>3780</v>
      </c>
      <c r="D4686" s="10" t="s">
        <v>4579</v>
      </c>
      <c r="E4686" s="10" t="str">
        <f>"644020240516223145184297"</f>
        <v>644020240516223145184297</v>
      </c>
      <c r="F4686" s="9"/>
    </row>
    <row r="4687" s="2" customFormat="1" ht="30" customHeight="1" spans="1:6">
      <c r="A4687" s="9">
        <v>4684</v>
      </c>
      <c r="B4687" s="10" t="s">
        <v>3779</v>
      </c>
      <c r="C4687" s="10" t="s">
        <v>3780</v>
      </c>
      <c r="D4687" s="10" t="s">
        <v>4580</v>
      </c>
      <c r="E4687" s="10" t="str">
        <f>"644020240516224236184318"</f>
        <v>644020240516224236184318</v>
      </c>
      <c r="F4687" s="9"/>
    </row>
    <row r="4688" s="2" customFormat="1" ht="30" customHeight="1" spans="1:6">
      <c r="A4688" s="9">
        <v>4685</v>
      </c>
      <c r="B4688" s="10" t="s">
        <v>3779</v>
      </c>
      <c r="C4688" s="10" t="s">
        <v>3780</v>
      </c>
      <c r="D4688" s="10" t="s">
        <v>4581</v>
      </c>
      <c r="E4688" s="10" t="str">
        <f>"644020240516083920182787"</f>
        <v>644020240516083920182787</v>
      </c>
      <c r="F4688" s="9"/>
    </row>
    <row r="4689" s="2" customFormat="1" ht="30" customHeight="1" spans="1:6">
      <c r="A4689" s="9">
        <v>4686</v>
      </c>
      <c r="B4689" s="10" t="s">
        <v>3779</v>
      </c>
      <c r="C4689" s="10" t="s">
        <v>3780</v>
      </c>
      <c r="D4689" s="10" t="s">
        <v>4582</v>
      </c>
      <c r="E4689" s="10" t="str">
        <f>"644020240516223336184301"</f>
        <v>644020240516223336184301</v>
      </c>
      <c r="F4689" s="9"/>
    </row>
    <row r="4690" s="2" customFormat="1" ht="30" customHeight="1" spans="1:6">
      <c r="A4690" s="9">
        <v>4687</v>
      </c>
      <c r="B4690" s="10" t="s">
        <v>3779</v>
      </c>
      <c r="C4690" s="10" t="s">
        <v>3780</v>
      </c>
      <c r="D4690" s="10" t="s">
        <v>4583</v>
      </c>
      <c r="E4690" s="10" t="str">
        <f>"644020240516212957184138"</f>
        <v>644020240516212957184138</v>
      </c>
      <c r="F4690" s="9"/>
    </row>
    <row r="4691" s="2" customFormat="1" ht="30" customHeight="1" spans="1:6">
      <c r="A4691" s="9">
        <v>4688</v>
      </c>
      <c r="B4691" s="10" t="s">
        <v>3779</v>
      </c>
      <c r="C4691" s="10" t="s">
        <v>3780</v>
      </c>
      <c r="D4691" s="10" t="s">
        <v>3732</v>
      </c>
      <c r="E4691" s="10" t="str">
        <f>"644020240516224324184323"</f>
        <v>644020240516224324184323</v>
      </c>
      <c r="F4691" s="9"/>
    </row>
    <row r="4692" s="2" customFormat="1" ht="30" customHeight="1" spans="1:6">
      <c r="A4692" s="9">
        <v>4689</v>
      </c>
      <c r="B4692" s="10" t="s">
        <v>3779</v>
      </c>
      <c r="C4692" s="10" t="s">
        <v>3780</v>
      </c>
      <c r="D4692" s="10" t="s">
        <v>4584</v>
      </c>
      <c r="E4692" s="10" t="str">
        <f>"644020240514095229178232"</f>
        <v>644020240514095229178232</v>
      </c>
      <c r="F4692" s="9"/>
    </row>
    <row r="4693" s="2" customFormat="1" ht="30" customHeight="1" spans="1:6">
      <c r="A4693" s="9">
        <v>4690</v>
      </c>
      <c r="B4693" s="10" t="s">
        <v>3779</v>
      </c>
      <c r="C4693" s="10" t="s">
        <v>3780</v>
      </c>
      <c r="D4693" s="10" t="s">
        <v>4585</v>
      </c>
      <c r="E4693" s="10" t="str">
        <f>"644020240516221310184253"</f>
        <v>644020240516221310184253</v>
      </c>
      <c r="F4693" s="9"/>
    </row>
    <row r="4694" s="2" customFormat="1" ht="30" customHeight="1" spans="1:6">
      <c r="A4694" s="9">
        <v>4691</v>
      </c>
      <c r="B4694" s="10" t="s">
        <v>3779</v>
      </c>
      <c r="C4694" s="10" t="s">
        <v>3780</v>
      </c>
      <c r="D4694" s="10" t="s">
        <v>4586</v>
      </c>
      <c r="E4694" s="10" t="str">
        <f>"644020240516225440184347"</f>
        <v>644020240516225440184347</v>
      </c>
      <c r="F4694" s="9"/>
    </row>
    <row r="4695" s="2" customFormat="1" ht="30" customHeight="1" spans="1:6">
      <c r="A4695" s="9">
        <v>4692</v>
      </c>
      <c r="B4695" s="10" t="s">
        <v>3779</v>
      </c>
      <c r="C4695" s="10" t="s">
        <v>3780</v>
      </c>
      <c r="D4695" s="10" t="s">
        <v>4587</v>
      </c>
      <c r="E4695" s="10" t="str">
        <f>"644020240512095956168389"</f>
        <v>644020240512095956168389</v>
      </c>
      <c r="F4695" s="9"/>
    </row>
    <row r="4696" s="2" customFormat="1" ht="30" customHeight="1" spans="1:6">
      <c r="A4696" s="9">
        <v>4693</v>
      </c>
      <c r="B4696" s="10" t="s">
        <v>3779</v>
      </c>
      <c r="C4696" s="10" t="s">
        <v>3780</v>
      </c>
      <c r="D4696" s="10" t="s">
        <v>4588</v>
      </c>
      <c r="E4696" s="10" t="str">
        <f>"644020240516162711183685"</f>
        <v>644020240516162711183685</v>
      </c>
      <c r="F4696" s="9"/>
    </row>
    <row r="4697" s="2" customFormat="1" ht="30" customHeight="1" spans="1:6">
      <c r="A4697" s="9">
        <v>4694</v>
      </c>
      <c r="B4697" s="10" t="s">
        <v>3779</v>
      </c>
      <c r="C4697" s="10" t="s">
        <v>3780</v>
      </c>
      <c r="D4697" s="10" t="s">
        <v>4589</v>
      </c>
      <c r="E4697" s="10" t="str">
        <f>"644020240513100547173169"</f>
        <v>644020240513100547173169</v>
      </c>
      <c r="F4697" s="9"/>
    </row>
    <row r="4698" s="2" customFormat="1" ht="30" customHeight="1" spans="1:6">
      <c r="A4698" s="9">
        <v>4695</v>
      </c>
      <c r="B4698" s="10" t="s">
        <v>3779</v>
      </c>
      <c r="C4698" s="10" t="s">
        <v>3780</v>
      </c>
      <c r="D4698" s="10" t="s">
        <v>4590</v>
      </c>
      <c r="E4698" s="10" t="str">
        <f>"644020240516223949184312"</f>
        <v>644020240516223949184312</v>
      </c>
      <c r="F4698" s="9"/>
    </row>
    <row r="4699" s="2" customFormat="1" ht="30" customHeight="1" spans="1:6">
      <c r="A4699" s="9">
        <v>4696</v>
      </c>
      <c r="B4699" s="10" t="s">
        <v>3779</v>
      </c>
      <c r="C4699" s="10" t="s">
        <v>3780</v>
      </c>
      <c r="D4699" s="10" t="s">
        <v>4591</v>
      </c>
      <c r="E4699" s="10" t="str">
        <f>"644020240515223617182441"</f>
        <v>644020240515223617182441</v>
      </c>
      <c r="F4699" s="9"/>
    </row>
    <row r="4700" s="2" customFormat="1" ht="30" customHeight="1" spans="1:6">
      <c r="A4700" s="9">
        <v>4697</v>
      </c>
      <c r="B4700" s="10" t="s">
        <v>3779</v>
      </c>
      <c r="C4700" s="10" t="s">
        <v>3780</v>
      </c>
      <c r="D4700" s="10" t="s">
        <v>4592</v>
      </c>
      <c r="E4700" s="10" t="str">
        <f>"644020240512223358171518"</f>
        <v>644020240512223358171518</v>
      </c>
      <c r="F4700" s="9"/>
    </row>
    <row r="4701" s="2" customFormat="1" ht="30" customHeight="1" spans="1:6">
      <c r="A4701" s="9">
        <v>4698</v>
      </c>
      <c r="B4701" s="10" t="s">
        <v>3779</v>
      </c>
      <c r="C4701" s="10" t="s">
        <v>3780</v>
      </c>
      <c r="D4701" s="10" t="s">
        <v>4593</v>
      </c>
      <c r="E4701" s="10" t="str">
        <f>"644020240515184741182121"</f>
        <v>644020240515184741182121</v>
      </c>
      <c r="F4701" s="9"/>
    </row>
    <row r="4702" s="2" customFormat="1" ht="30" customHeight="1" spans="1:6">
      <c r="A4702" s="9">
        <v>4699</v>
      </c>
      <c r="B4702" s="10" t="s">
        <v>3779</v>
      </c>
      <c r="C4702" s="10" t="s">
        <v>3780</v>
      </c>
      <c r="D4702" s="10" t="s">
        <v>4594</v>
      </c>
      <c r="E4702" s="10" t="str">
        <f>"644020240515162043181831"</f>
        <v>644020240515162043181831</v>
      </c>
      <c r="F4702" s="9"/>
    </row>
    <row r="4703" s="2" customFormat="1" ht="30" customHeight="1" spans="1:6">
      <c r="A4703" s="9">
        <v>4700</v>
      </c>
      <c r="B4703" s="10" t="s">
        <v>3779</v>
      </c>
      <c r="C4703" s="10" t="s">
        <v>3780</v>
      </c>
      <c r="D4703" s="10" t="s">
        <v>4595</v>
      </c>
      <c r="E4703" s="10" t="str">
        <f>"644020240516215420184196"</f>
        <v>644020240516215420184196</v>
      </c>
      <c r="F4703" s="9"/>
    </row>
    <row r="4704" s="2" customFormat="1" ht="30" customHeight="1" spans="1:6">
      <c r="A4704" s="9">
        <v>4701</v>
      </c>
      <c r="B4704" s="10" t="s">
        <v>3779</v>
      </c>
      <c r="C4704" s="10" t="s">
        <v>3780</v>
      </c>
      <c r="D4704" s="10" t="s">
        <v>4596</v>
      </c>
      <c r="E4704" s="10" t="str">
        <f>"644020240512210237171005"</f>
        <v>644020240512210237171005</v>
      </c>
      <c r="F4704" s="9"/>
    </row>
    <row r="4705" s="2" customFormat="1" ht="30" customHeight="1" spans="1:6">
      <c r="A4705" s="9">
        <v>4702</v>
      </c>
      <c r="B4705" s="10" t="s">
        <v>3779</v>
      </c>
      <c r="C4705" s="10" t="s">
        <v>3780</v>
      </c>
      <c r="D4705" s="10" t="s">
        <v>4597</v>
      </c>
      <c r="E4705" s="10" t="str">
        <f>"644020240516231752184388"</f>
        <v>644020240516231752184388</v>
      </c>
      <c r="F4705" s="9"/>
    </row>
    <row r="4706" s="2" customFormat="1" ht="30" customHeight="1" spans="1:6">
      <c r="A4706" s="9">
        <v>4703</v>
      </c>
      <c r="B4706" s="10" t="s">
        <v>3779</v>
      </c>
      <c r="C4706" s="10" t="s">
        <v>3780</v>
      </c>
      <c r="D4706" s="10" t="s">
        <v>4598</v>
      </c>
      <c r="E4706" s="10" t="str">
        <f>"644020240515222418182409"</f>
        <v>644020240515222418182409</v>
      </c>
      <c r="F4706" s="9"/>
    </row>
    <row r="4707" s="2" customFormat="1" ht="30" customHeight="1" spans="1:6">
      <c r="A4707" s="9">
        <v>4704</v>
      </c>
      <c r="B4707" s="10" t="s">
        <v>3779</v>
      </c>
      <c r="C4707" s="10" t="s">
        <v>3780</v>
      </c>
      <c r="D4707" s="10" t="s">
        <v>4599</v>
      </c>
      <c r="E4707" s="10" t="str">
        <f>"644020240516005220182670"</f>
        <v>644020240516005220182670</v>
      </c>
      <c r="F4707" s="9"/>
    </row>
    <row r="4708" s="2" customFormat="1" ht="30" customHeight="1" spans="1:6">
      <c r="A4708" s="9">
        <v>4705</v>
      </c>
      <c r="B4708" s="10" t="s">
        <v>3779</v>
      </c>
      <c r="C4708" s="10" t="s">
        <v>3780</v>
      </c>
      <c r="D4708" s="10" t="s">
        <v>4600</v>
      </c>
      <c r="E4708" s="10" t="str">
        <f>"644020240515234437182600"</f>
        <v>644020240515234437182600</v>
      </c>
      <c r="F4708" s="9"/>
    </row>
    <row r="4709" s="2" customFormat="1" ht="30" customHeight="1" spans="1:6">
      <c r="A4709" s="9">
        <v>4706</v>
      </c>
      <c r="B4709" s="10" t="s">
        <v>3779</v>
      </c>
      <c r="C4709" s="10" t="s">
        <v>3780</v>
      </c>
      <c r="D4709" s="10" t="s">
        <v>4601</v>
      </c>
      <c r="E4709" s="10" t="str">
        <f>"644020240516234056184428"</f>
        <v>644020240516234056184428</v>
      </c>
      <c r="F4709" s="9"/>
    </row>
    <row r="4710" s="2" customFormat="1" ht="30" customHeight="1" spans="1:6">
      <c r="A4710" s="9">
        <v>4707</v>
      </c>
      <c r="B4710" s="10" t="s">
        <v>3779</v>
      </c>
      <c r="C4710" s="10" t="s">
        <v>3780</v>
      </c>
      <c r="D4710" s="10" t="s">
        <v>4602</v>
      </c>
      <c r="E4710" s="10" t="str">
        <f>"644020240516234604184435"</f>
        <v>644020240516234604184435</v>
      </c>
      <c r="F4710" s="9"/>
    </row>
    <row r="4711" s="2" customFormat="1" ht="30" customHeight="1" spans="1:6">
      <c r="A4711" s="9">
        <v>4708</v>
      </c>
      <c r="B4711" s="10" t="s">
        <v>3779</v>
      </c>
      <c r="C4711" s="10" t="s">
        <v>3780</v>
      </c>
      <c r="D4711" s="10" t="s">
        <v>2759</v>
      </c>
      <c r="E4711" s="10" t="str">
        <f>"644020240516234507184432"</f>
        <v>644020240516234507184432</v>
      </c>
      <c r="F4711" s="9"/>
    </row>
    <row r="4712" s="2" customFormat="1" ht="30" customHeight="1" spans="1:6">
      <c r="A4712" s="9">
        <v>4709</v>
      </c>
      <c r="B4712" s="10" t="s">
        <v>3779</v>
      </c>
      <c r="C4712" s="10" t="s">
        <v>3780</v>
      </c>
      <c r="D4712" s="10" t="s">
        <v>4603</v>
      </c>
      <c r="E4712" s="10" t="str">
        <f>"644020240516235925184458"</f>
        <v>644020240516235925184458</v>
      </c>
      <c r="F4712" s="9"/>
    </row>
    <row r="4713" s="2" customFormat="1" ht="30" customHeight="1" spans="1:6">
      <c r="A4713" s="9">
        <v>4710</v>
      </c>
      <c r="B4713" s="10" t="s">
        <v>3779</v>
      </c>
      <c r="C4713" s="10" t="s">
        <v>3780</v>
      </c>
      <c r="D4713" s="10" t="s">
        <v>4604</v>
      </c>
      <c r="E4713" s="10" t="str">
        <f>"644020240516220638184239"</f>
        <v>644020240516220638184239</v>
      </c>
      <c r="F4713" s="9"/>
    </row>
    <row r="4714" s="2" customFormat="1" ht="30" customHeight="1" spans="1:6">
      <c r="A4714" s="9">
        <v>4711</v>
      </c>
      <c r="B4714" s="10" t="s">
        <v>3779</v>
      </c>
      <c r="C4714" s="10" t="s">
        <v>3780</v>
      </c>
      <c r="D4714" s="10" t="s">
        <v>4605</v>
      </c>
      <c r="E4714" s="10" t="str">
        <f>"644020240516231553184383"</f>
        <v>644020240516231553184383</v>
      </c>
      <c r="F4714" s="9"/>
    </row>
    <row r="4715" s="2" customFormat="1" ht="30" customHeight="1" spans="1:6">
      <c r="A4715" s="9">
        <v>4712</v>
      </c>
      <c r="B4715" s="10" t="s">
        <v>3779</v>
      </c>
      <c r="C4715" s="10" t="s">
        <v>3780</v>
      </c>
      <c r="D4715" s="10" t="s">
        <v>4606</v>
      </c>
      <c r="E4715" s="10" t="str">
        <f>"644020240517000546184467"</f>
        <v>644020240517000546184467</v>
      </c>
      <c r="F4715" s="9"/>
    </row>
    <row r="4716" s="2" customFormat="1" ht="30" customHeight="1" spans="1:6">
      <c r="A4716" s="9">
        <v>4713</v>
      </c>
      <c r="B4716" s="10" t="s">
        <v>3779</v>
      </c>
      <c r="C4716" s="10" t="s">
        <v>3780</v>
      </c>
      <c r="D4716" s="10" t="s">
        <v>4607</v>
      </c>
      <c r="E4716" s="10" t="str">
        <f>"644020240516232727184406"</f>
        <v>644020240516232727184406</v>
      </c>
      <c r="F4716" s="9"/>
    </row>
    <row r="4717" s="2" customFormat="1" ht="30" customHeight="1" spans="1:6">
      <c r="A4717" s="9">
        <v>4714</v>
      </c>
      <c r="B4717" s="10" t="s">
        <v>3779</v>
      </c>
      <c r="C4717" s="10" t="s">
        <v>3780</v>
      </c>
      <c r="D4717" s="10" t="s">
        <v>4608</v>
      </c>
      <c r="E4717" s="10" t="str">
        <f>"644020240516170700183783"</f>
        <v>644020240516170700183783</v>
      </c>
      <c r="F4717" s="9"/>
    </row>
    <row r="4718" s="2" customFormat="1" ht="30" customHeight="1" spans="1:6">
      <c r="A4718" s="9">
        <v>4715</v>
      </c>
      <c r="B4718" s="10" t="s">
        <v>3779</v>
      </c>
      <c r="C4718" s="10" t="s">
        <v>3780</v>
      </c>
      <c r="D4718" s="10" t="s">
        <v>4609</v>
      </c>
      <c r="E4718" s="10" t="str">
        <f>"644020240515000327180570"</f>
        <v>644020240515000327180570</v>
      </c>
      <c r="F4718" s="9"/>
    </row>
    <row r="4719" s="2" customFormat="1" ht="30" customHeight="1" spans="1:6">
      <c r="A4719" s="9">
        <v>4716</v>
      </c>
      <c r="B4719" s="10" t="s">
        <v>3779</v>
      </c>
      <c r="C4719" s="10" t="s">
        <v>3780</v>
      </c>
      <c r="D4719" s="10" t="s">
        <v>4610</v>
      </c>
      <c r="E4719" s="10" t="str">
        <f>"644020240516203735184083"</f>
        <v>644020240516203735184083</v>
      </c>
      <c r="F4719" s="9"/>
    </row>
    <row r="4720" s="2" customFormat="1" ht="30" customHeight="1" spans="1:6">
      <c r="A4720" s="9">
        <v>4717</v>
      </c>
      <c r="B4720" s="10" t="s">
        <v>3779</v>
      </c>
      <c r="C4720" s="10" t="s">
        <v>3780</v>
      </c>
      <c r="D4720" s="10" t="s">
        <v>4611</v>
      </c>
      <c r="E4720" s="10" t="str">
        <f>"644020240517004101184504"</f>
        <v>644020240517004101184504</v>
      </c>
      <c r="F4720" s="9"/>
    </row>
    <row r="4721" s="2" customFormat="1" ht="30" customHeight="1" spans="1:6">
      <c r="A4721" s="9">
        <v>4718</v>
      </c>
      <c r="B4721" s="10" t="s">
        <v>3779</v>
      </c>
      <c r="C4721" s="10" t="s">
        <v>3780</v>
      </c>
      <c r="D4721" s="10" t="s">
        <v>4612</v>
      </c>
      <c r="E4721" s="10" t="str">
        <f>"644020240517005112184513"</f>
        <v>644020240517005112184513</v>
      </c>
      <c r="F4721" s="9"/>
    </row>
    <row r="4722" s="2" customFormat="1" ht="30" customHeight="1" spans="1:6">
      <c r="A4722" s="9">
        <v>4719</v>
      </c>
      <c r="B4722" s="10" t="s">
        <v>3779</v>
      </c>
      <c r="C4722" s="10" t="s">
        <v>3780</v>
      </c>
      <c r="D4722" s="10" t="s">
        <v>4613</v>
      </c>
      <c r="E4722" s="10" t="str">
        <f>"644020240517001938184486"</f>
        <v>644020240517001938184486</v>
      </c>
      <c r="F4722" s="9"/>
    </row>
    <row r="4723" s="2" customFormat="1" ht="30" customHeight="1" spans="1:6">
      <c r="A4723" s="9">
        <v>4720</v>
      </c>
      <c r="B4723" s="10" t="s">
        <v>3779</v>
      </c>
      <c r="C4723" s="10" t="s">
        <v>3780</v>
      </c>
      <c r="D4723" s="10" t="s">
        <v>4614</v>
      </c>
      <c r="E4723" s="10" t="str">
        <f>"644020240516110536183116"</f>
        <v>644020240516110536183116</v>
      </c>
      <c r="F4723" s="9"/>
    </row>
    <row r="4724" s="2" customFormat="1" ht="30" customHeight="1" spans="1:6">
      <c r="A4724" s="9">
        <v>4721</v>
      </c>
      <c r="B4724" s="10" t="s">
        <v>3779</v>
      </c>
      <c r="C4724" s="10" t="s">
        <v>3780</v>
      </c>
      <c r="D4724" s="10" t="s">
        <v>4216</v>
      </c>
      <c r="E4724" s="10" t="str">
        <f>"644020240516160241183624"</f>
        <v>644020240516160241183624</v>
      </c>
      <c r="F4724" s="9"/>
    </row>
    <row r="4725" s="2" customFormat="1" ht="30" customHeight="1" spans="1:6">
      <c r="A4725" s="9">
        <v>4722</v>
      </c>
      <c r="B4725" s="10" t="s">
        <v>3779</v>
      </c>
      <c r="C4725" s="10" t="s">
        <v>3780</v>
      </c>
      <c r="D4725" s="10" t="s">
        <v>4615</v>
      </c>
      <c r="E4725" s="10" t="str">
        <f>"644020240516031328182704"</f>
        <v>644020240516031328182704</v>
      </c>
      <c r="F4725" s="9"/>
    </row>
    <row r="4726" s="2" customFormat="1" ht="30" customHeight="1" spans="1:6">
      <c r="A4726" s="9">
        <v>4723</v>
      </c>
      <c r="B4726" s="10" t="s">
        <v>3779</v>
      </c>
      <c r="C4726" s="10" t="s">
        <v>3780</v>
      </c>
      <c r="D4726" s="10" t="s">
        <v>4616</v>
      </c>
      <c r="E4726" s="10" t="str">
        <f>"644020240517004121184505"</f>
        <v>644020240517004121184505</v>
      </c>
      <c r="F4726" s="9"/>
    </row>
    <row r="4727" s="2" customFormat="1" ht="30" customHeight="1" spans="1:6">
      <c r="A4727" s="9">
        <v>4724</v>
      </c>
      <c r="B4727" s="10" t="s">
        <v>3779</v>
      </c>
      <c r="C4727" s="10" t="s">
        <v>3780</v>
      </c>
      <c r="D4727" s="10" t="s">
        <v>4617</v>
      </c>
      <c r="E4727" s="10" t="str">
        <f>"644020240515084158180721"</f>
        <v>644020240515084158180721</v>
      </c>
      <c r="F4727" s="9"/>
    </row>
    <row r="4728" s="2" customFormat="1" ht="30" customHeight="1" spans="1:6">
      <c r="A4728" s="9">
        <v>4725</v>
      </c>
      <c r="B4728" s="10" t="s">
        <v>3779</v>
      </c>
      <c r="C4728" s="10" t="s">
        <v>3780</v>
      </c>
      <c r="D4728" s="10" t="s">
        <v>4618</v>
      </c>
      <c r="E4728" s="10" t="str">
        <f>"644020240514085813177946"</f>
        <v>644020240514085813177946</v>
      </c>
      <c r="F4728" s="9"/>
    </row>
    <row r="4729" s="2" customFormat="1" ht="30" customHeight="1" spans="1:6">
      <c r="A4729" s="9">
        <v>4726</v>
      </c>
      <c r="B4729" s="10" t="s">
        <v>3779</v>
      </c>
      <c r="C4729" s="10" t="s">
        <v>3780</v>
      </c>
      <c r="D4729" s="10" t="s">
        <v>4619</v>
      </c>
      <c r="E4729" s="10" t="str">
        <f>"644020240517070543184569"</f>
        <v>644020240517070543184569</v>
      </c>
      <c r="F4729" s="9"/>
    </row>
    <row r="4730" s="2" customFormat="1" ht="30" customHeight="1" spans="1:6">
      <c r="A4730" s="9">
        <v>4727</v>
      </c>
      <c r="B4730" s="10" t="s">
        <v>3779</v>
      </c>
      <c r="C4730" s="10" t="s">
        <v>3780</v>
      </c>
      <c r="D4730" s="10" t="s">
        <v>4620</v>
      </c>
      <c r="E4730" s="10" t="str">
        <f>"644020240517075943184597"</f>
        <v>644020240517075943184597</v>
      </c>
      <c r="F4730" s="9"/>
    </row>
    <row r="4731" s="2" customFormat="1" ht="30" customHeight="1" spans="1:6">
      <c r="A4731" s="9">
        <v>4728</v>
      </c>
      <c r="B4731" s="10" t="s">
        <v>3779</v>
      </c>
      <c r="C4731" s="10" t="s">
        <v>3780</v>
      </c>
      <c r="D4731" s="10" t="s">
        <v>4621</v>
      </c>
      <c r="E4731" s="10" t="str">
        <f>"644020240516104836183072"</f>
        <v>644020240516104836183072</v>
      </c>
      <c r="F4731" s="9"/>
    </row>
    <row r="4732" s="2" customFormat="1" ht="30" customHeight="1" spans="1:6">
      <c r="A4732" s="9">
        <v>4729</v>
      </c>
      <c r="B4732" s="10" t="s">
        <v>3779</v>
      </c>
      <c r="C4732" s="10" t="s">
        <v>3780</v>
      </c>
      <c r="D4732" s="10" t="s">
        <v>4622</v>
      </c>
      <c r="E4732" s="10" t="str">
        <f>"644020240517082528184628"</f>
        <v>644020240517082528184628</v>
      </c>
      <c r="F4732" s="9"/>
    </row>
    <row r="4733" s="2" customFormat="1" ht="30" customHeight="1" spans="1:6">
      <c r="A4733" s="9">
        <v>4730</v>
      </c>
      <c r="B4733" s="10" t="s">
        <v>3779</v>
      </c>
      <c r="C4733" s="10" t="s">
        <v>3780</v>
      </c>
      <c r="D4733" s="10" t="s">
        <v>4623</v>
      </c>
      <c r="E4733" s="10" t="str">
        <f>"644020240517082655184630"</f>
        <v>644020240517082655184630</v>
      </c>
      <c r="F4733" s="9"/>
    </row>
    <row r="4734" s="2" customFormat="1" ht="30" customHeight="1" spans="1:6">
      <c r="A4734" s="9">
        <v>4731</v>
      </c>
      <c r="B4734" s="10" t="s">
        <v>3779</v>
      </c>
      <c r="C4734" s="10" t="s">
        <v>3780</v>
      </c>
      <c r="D4734" s="10" t="s">
        <v>4624</v>
      </c>
      <c r="E4734" s="10" t="str">
        <f>"644020240517083239184640"</f>
        <v>644020240517083239184640</v>
      </c>
      <c r="F4734" s="9"/>
    </row>
    <row r="4735" s="2" customFormat="1" ht="30" customHeight="1" spans="1:6">
      <c r="A4735" s="9">
        <v>4732</v>
      </c>
      <c r="B4735" s="10" t="s">
        <v>3779</v>
      </c>
      <c r="C4735" s="10" t="s">
        <v>3780</v>
      </c>
      <c r="D4735" s="10" t="s">
        <v>4625</v>
      </c>
      <c r="E4735" s="10" t="str">
        <f>"644020240514064915177771"</f>
        <v>644020240514064915177771</v>
      </c>
      <c r="F4735" s="9"/>
    </row>
    <row r="4736" s="2" customFormat="1" ht="30" customHeight="1" spans="1:6">
      <c r="A4736" s="9">
        <v>4733</v>
      </c>
      <c r="B4736" s="10" t="s">
        <v>3779</v>
      </c>
      <c r="C4736" s="10" t="s">
        <v>3780</v>
      </c>
      <c r="D4736" s="10" t="s">
        <v>4626</v>
      </c>
      <c r="E4736" s="10" t="str">
        <f>"644020240517085755184680"</f>
        <v>644020240517085755184680</v>
      </c>
      <c r="F4736" s="9"/>
    </row>
    <row r="4737" s="2" customFormat="1" ht="30" customHeight="1" spans="1:6">
      <c r="A4737" s="9">
        <v>4734</v>
      </c>
      <c r="B4737" s="10" t="s">
        <v>3779</v>
      </c>
      <c r="C4737" s="10" t="s">
        <v>3780</v>
      </c>
      <c r="D4737" s="10" t="s">
        <v>4627</v>
      </c>
      <c r="E4737" s="10" t="str">
        <f>"644020240517093351184753"</f>
        <v>644020240517093351184753</v>
      </c>
      <c r="F4737" s="9"/>
    </row>
    <row r="4738" s="2" customFormat="1" ht="30" customHeight="1" spans="1:6">
      <c r="A4738" s="9">
        <v>4735</v>
      </c>
      <c r="B4738" s="10" t="s">
        <v>3779</v>
      </c>
      <c r="C4738" s="10" t="s">
        <v>3780</v>
      </c>
      <c r="D4738" s="10" t="s">
        <v>4628</v>
      </c>
      <c r="E4738" s="10" t="str">
        <f>"644020240517083700184645"</f>
        <v>644020240517083700184645</v>
      </c>
      <c r="F4738" s="9"/>
    </row>
    <row r="4739" s="2" customFormat="1" ht="30" customHeight="1" spans="1:6">
      <c r="A4739" s="9">
        <v>4736</v>
      </c>
      <c r="B4739" s="10" t="s">
        <v>3779</v>
      </c>
      <c r="C4739" s="10" t="s">
        <v>3780</v>
      </c>
      <c r="D4739" s="10" t="s">
        <v>4629</v>
      </c>
      <c r="E4739" s="10" t="str">
        <f>"644020240517093145184748"</f>
        <v>644020240517093145184748</v>
      </c>
      <c r="F4739" s="9"/>
    </row>
    <row r="4740" s="2" customFormat="1" ht="30" customHeight="1" spans="1:6">
      <c r="A4740" s="9">
        <v>4737</v>
      </c>
      <c r="B4740" s="10" t="s">
        <v>3779</v>
      </c>
      <c r="C4740" s="10" t="s">
        <v>3780</v>
      </c>
      <c r="D4740" s="10" t="s">
        <v>4630</v>
      </c>
      <c r="E4740" s="10" t="str">
        <f>"644020240516200208184035"</f>
        <v>644020240516200208184035</v>
      </c>
      <c r="F4740" s="9"/>
    </row>
    <row r="4741" s="2" customFormat="1" ht="30" customHeight="1" spans="1:6">
      <c r="A4741" s="9">
        <v>4738</v>
      </c>
      <c r="B4741" s="10" t="s">
        <v>3779</v>
      </c>
      <c r="C4741" s="10" t="s">
        <v>3780</v>
      </c>
      <c r="D4741" s="10" t="s">
        <v>4631</v>
      </c>
      <c r="E4741" s="10" t="str">
        <f>"644020240517090803184701"</f>
        <v>644020240517090803184701</v>
      </c>
      <c r="F4741" s="9"/>
    </row>
    <row r="4742" s="2" customFormat="1" ht="30" customHeight="1" spans="1:6">
      <c r="A4742" s="9">
        <v>4739</v>
      </c>
      <c r="B4742" s="10" t="s">
        <v>3779</v>
      </c>
      <c r="C4742" s="10" t="s">
        <v>3780</v>
      </c>
      <c r="D4742" s="10" t="s">
        <v>4632</v>
      </c>
      <c r="E4742" s="10" t="str">
        <f>"644020240514105123178567"</f>
        <v>644020240514105123178567</v>
      </c>
      <c r="F4742" s="9"/>
    </row>
    <row r="4743" s="2" customFormat="1" ht="30" customHeight="1" spans="1:6">
      <c r="A4743" s="9">
        <v>4740</v>
      </c>
      <c r="B4743" s="10" t="s">
        <v>3779</v>
      </c>
      <c r="C4743" s="10" t="s">
        <v>3780</v>
      </c>
      <c r="D4743" s="10" t="s">
        <v>2366</v>
      </c>
      <c r="E4743" s="10" t="str">
        <f>"644020240517074812184586"</f>
        <v>644020240517074812184586</v>
      </c>
      <c r="F4743" s="9"/>
    </row>
    <row r="4744" s="2" customFormat="1" ht="30" customHeight="1" spans="1:6">
      <c r="A4744" s="9">
        <v>4741</v>
      </c>
      <c r="B4744" s="10" t="s">
        <v>3779</v>
      </c>
      <c r="C4744" s="10" t="s">
        <v>3780</v>
      </c>
      <c r="D4744" s="10" t="s">
        <v>4633</v>
      </c>
      <c r="E4744" s="10" t="str">
        <f>"644020240517095757184807"</f>
        <v>644020240517095757184807</v>
      </c>
      <c r="F4744" s="9"/>
    </row>
    <row r="4745" s="2" customFormat="1" ht="30" customHeight="1" spans="1:6">
      <c r="A4745" s="9">
        <v>4742</v>
      </c>
      <c r="B4745" s="10" t="s">
        <v>3779</v>
      </c>
      <c r="C4745" s="10" t="s">
        <v>3780</v>
      </c>
      <c r="D4745" s="10" t="s">
        <v>4634</v>
      </c>
      <c r="E4745" s="10" t="str">
        <f>"644020240516213058184141"</f>
        <v>644020240516213058184141</v>
      </c>
      <c r="F4745" s="9"/>
    </row>
    <row r="4746" s="2" customFormat="1" ht="30" customHeight="1" spans="1:6">
      <c r="A4746" s="9">
        <v>4743</v>
      </c>
      <c r="B4746" s="10" t="s">
        <v>3779</v>
      </c>
      <c r="C4746" s="10" t="s">
        <v>3780</v>
      </c>
      <c r="D4746" s="10" t="s">
        <v>4635</v>
      </c>
      <c r="E4746" s="10" t="str">
        <f>"644020240517102610184872"</f>
        <v>644020240517102610184872</v>
      </c>
      <c r="F4746" s="9"/>
    </row>
    <row r="4747" s="2" customFormat="1" ht="30" customHeight="1" spans="1:6">
      <c r="A4747" s="9">
        <v>4744</v>
      </c>
      <c r="B4747" s="10" t="s">
        <v>3779</v>
      </c>
      <c r="C4747" s="10" t="s">
        <v>3780</v>
      </c>
      <c r="D4747" s="10" t="s">
        <v>4636</v>
      </c>
      <c r="E4747" s="10" t="str">
        <f>"644020240517103623184893"</f>
        <v>644020240517103623184893</v>
      </c>
      <c r="F4747" s="9"/>
    </row>
    <row r="4748" s="2" customFormat="1" ht="30" customHeight="1" spans="1:6">
      <c r="A4748" s="9">
        <v>4745</v>
      </c>
      <c r="B4748" s="10" t="s">
        <v>3779</v>
      </c>
      <c r="C4748" s="10" t="s">
        <v>3780</v>
      </c>
      <c r="D4748" s="10" t="s">
        <v>4637</v>
      </c>
      <c r="E4748" s="10" t="str">
        <f>"644020240515111605181199"</f>
        <v>644020240515111605181199</v>
      </c>
      <c r="F4748" s="9"/>
    </row>
    <row r="4749" s="2" customFormat="1" ht="30" customHeight="1" spans="1:6">
      <c r="A4749" s="9">
        <v>4746</v>
      </c>
      <c r="B4749" s="10" t="s">
        <v>3779</v>
      </c>
      <c r="C4749" s="10" t="s">
        <v>3780</v>
      </c>
      <c r="D4749" s="10" t="s">
        <v>1915</v>
      </c>
      <c r="E4749" s="10" t="str">
        <f>"644020240517102807184875"</f>
        <v>644020240517102807184875</v>
      </c>
      <c r="F4749" s="9"/>
    </row>
    <row r="4750" s="2" customFormat="1" ht="30" customHeight="1" spans="1:6">
      <c r="A4750" s="9">
        <v>4747</v>
      </c>
      <c r="B4750" s="10" t="s">
        <v>3779</v>
      </c>
      <c r="C4750" s="10" t="s">
        <v>3780</v>
      </c>
      <c r="D4750" s="10" t="s">
        <v>4638</v>
      </c>
      <c r="E4750" s="10" t="str">
        <f>"644020240517094113184767"</f>
        <v>644020240517094113184767</v>
      </c>
      <c r="F4750" s="9"/>
    </row>
    <row r="4751" s="2" customFormat="1" ht="30" customHeight="1" spans="1:6">
      <c r="A4751" s="9">
        <v>4748</v>
      </c>
      <c r="B4751" s="10" t="s">
        <v>3779</v>
      </c>
      <c r="C4751" s="10" t="s">
        <v>3780</v>
      </c>
      <c r="D4751" s="10" t="s">
        <v>4639</v>
      </c>
      <c r="E4751" s="10" t="str">
        <f>"644020240517104513184917"</f>
        <v>644020240517104513184917</v>
      </c>
      <c r="F4751" s="9"/>
    </row>
    <row r="4752" s="2" customFormat="1" ht="30" customHeight="1" spans="1:6">
      <c r="A4752" s="9">
        <v>4749</v>
      </c>
      <c r="B4752" s="10" t="s">
        <v>3779</v>
      </c>
      <c r="C4752" s="10" t="s">
        <v>3780</v>
      </c>
      <c r="D4752" s="10" t="s">
        <v>4640</v>
      </c>
      <c r="E4752" s="10" t="str">
        <f>"644020240514092654178092"</f>
        <v>644020240514092654178092</v>
      </c>
      <c r="F4752" s="9"/>
    </row>
    <row r="4753" s="2" customFormat="1" ht="30" customHeight="1" spans="1:6">
      <c r="A4753" s="9">
        <v>4750</v>
      </c>
      <c r="B4753" s="10" t="s">
        <v>3779</v>
      </c>
      <c r="C4753" s="10" t="s">
        <v>3780</v>
      </c>
      <c r="D4753" s="10" t="s">
        <v>4641</v>
      </c>
      <c r="E4753" s="10" t="str">
        <f>"644020240517105241184932"</f>
        <v>644020240517105241184932</v>
      </c>
      <c r="F4753" s="9"/>
    </row>
    <row r="4754" s="2" customFormat="1" ht="30" customHeight="1" spans="1:6">
      <c r="A4754" s="9">
        <v>4751</v>
      </c>
      <c r="B4754" s="10" t="s">
        <v>3779</v>
      </c>
      <c r="C4754" s="10" t="s">
        <v>3780</v>
      </c>
      <c r="D4754" s="10" t="s">
        <v>4642</v>
      </c>
      <c r="E4754" s="10" t="str">
        <f>"644020240517110440184960"</f>
        <v>644020240517110440184960</v>
      </c>
      <c r="F4754" s="9"/>
    </row>
    <row r="4755" s="2" customFormat="1" ht="30" customHeight="1" spans="1:6">
      <c r="A4755" s="9">
        <v>4752</v>
      </c>
      <c r="B4755" s="10" t="s">
        <v>3779</v>
      </c>
      <c r="C4755" s="10" t="s">
        <v>3780</v>
      </c>
      <c r="D4755" s="10" t="s">
        <v>4643</v>
      </c>
      <c r="E4755" s="10" t="str">
        <f>"644020240517104244184912"</f>
        <v>644020240517104244184912</v>
      </c>
      <c r="F4755" s="9"/>
    </row>
    <row r="4756" s="2" customFormat="1" ht="30" customHeight="1" spans="1:6">
      <c r="A4756" s="9">
        <v>4753</v>
      </c>
      <c r="B4756" s="10" t="s">
        <v>3779</v>
      </c>
      <c r="C4756" s="10" t="s">
        <v>3780</v>
      </c>
      <c r="D4756" s="10" t="s">
        <v>4644</v>
      </c>
      <c r="E4756" s="10" t="str">
        <f>"644020240517084957184668"</f>
        <v>644020240517084957184668</v>
      </c>
      <c r="F4756" s="9"/>
    </row>
    <row r="4757" s="2" customFormat="1" ht="30" customHeight="1" spans="1:6">
      <c r="A4757" s="9">
        <v>4754</v>
      </c>
      <c r="B4757" s="10" t="s">
        <v>3779</v>
      </c>
      <c r="C4757" s="10" t="s">
        <v>3780</v>
      </c>
      <c r="D4757" s="10" t="s">
        <v>4645</v>
      </c>
      <c r="E4757" s="10" t="str">
        <f>"644020240517111052184975"</f>
        <v>644020240517111052184975</v>
      </c>
      <c r="F4757" s="9"/>
    </row>
    <row r="4758" s="2" customFormat="1" ht="30" customHeight="1" spans="1:6">
      <c r="A4758" s="9">
        <v>4755</v>
      </c>
      <c r="B4758" s="10" t="s">
        <v>3779</v>
      </c>
      <c r="C4758" s="10" t="s">
        <v>3780</v>
      </c>
      <c r="D4758" s="10" t="s">
        <v>4646</v>
      </c>
      <c r="E4758" s="10" t="str">
        <f>"644020240517112350185007"</f>
        <v>644020240517112350185007</v>
      </c>
      <c r="F4758" s="9"/>
    </row>
    <row r="4759" s="2" customFormat="1" ht="30" customHeight="1" spans="1:6">
      <c r="A4759" s="9">
        <v>4756</v>
      </c>
      <c r="B4759" s="10" t="s">
        <v>3779</v>
      </c>
      <c r="C4759" s="10" t="s">
        <v>3780</v>
      </c>
      <c r="D4759" s="10" t="s">
        <v>4647</v>
      </c>
      <c r="E4759" s="10" t="str">
        <f>"644020240517114943185059"</f>
        <v>644020240517114943185059</v>
      </c>
      <c r="F4759" s="9"/>
    </row>
    <row r="4760" s="2" customFormat="1" ht="30" customHeight="1" spans="1:6">
      <c r="A4760" s="9">
        <v>4757</v>
      </c>
      <c r="B4760" s="10" t="s">
        <v>3779</v>
      </c>
      <c r="C4760" s="10" t="s">
        <v>3780</v>
      </c>
      <c r="D4760" s="10" t="s">
        <v>4648</v>
      </c>
      <c r="E4760" s="10" t="str">
        <f>"644020240517113931185040"</f>
        <v>644020240517113931185040</v>
      </c>
      <c r="F4760" s="9"/>
    </row>
    <row r="4761" s="2" customFormat="1" ht="30" customHeight="1" spans="1:6">
      <c r="A4761" s="9">
        <v>4758</v>
      </c>
      <c r="B4761" s="10" t="s">
        <v>3779</v>
      </c>
      <c r="C4761" s="10" t="s">
        <v>3780</v>
      </c>
      <c r="D4761" s="10" t="s">
        <v>4649</v>
      </c>
      <c r="E4761" s="10" t="str">
        <f>"644020240517115343185067"</f>
        <v>644020240517115343185067</v>
      </c>
      <c r="F4761" s="9"/>
    </row>
    <row r="4762" s="2" customFormat="1" ht="30" customHeight="1" spans="1:6">
      <c r="A4762" s="9">
        <v>4759</v>
      </c>
      <c r="B4762" s="10" t="s">
        <v>3779</v>
      </c>
      <c r="C4762" s="10" t="s">
        <v>3780</v>
      </c>
      <c r="D4762" s="10" t="s">
        <v>4650</v>
      </c>
      <c r="E4762" s="10" t="str">
        <f>"644020240517120026185075"</f>
        <v>644020240517120026185075</v>
      </c>
      <c r="F4762" s="9"/>
    </row>
    <row r="4763" s="2" customFormat="1" ht="30" customHeight="1" spans="1:6">
      <c r="A4763" s="9">
        <v>4760</v>
      </c>
      <c r="B4763" s="10" t="s">
        <v>3779</v>
      </c>
      <c r="C4763" s="10" t="s">
        <v>3780</v>
      </c>
      <c r="D4763" s="10" t="s">
        <v>4651</v>
      </c>
      <c r="E4763" s="10" t="str">
        <f>"644020240516080204182735"</f>
        <v>644020240516080204182735</v>
      </c>
      <c r="F4763" s="9"/>
    </row>
    <row r="4764" s="2" customFormat="1" ht="30" customHeight="1" spans="1:6">
      <c r="A4764" s="9">
        <v>4761</v>
      </c>
      <c r="B4764" s="10" t="s">
        <v>3779</v>
      </c>
      <c r="C4764" s="10" t="s">
        <v>3780</v>
      </c>
      <c r="D4764" s="10" t="s">
        <v>4652</v>
      </c>
      <c r="E4764" s="10" t="str">
        <f>"644020240517105309184934"</f>
        <v>644020240517105309184934</v>
      </c>
      <c r="F4764" s="9"/>
    </row>
    <row r="4765" s="2" customFormat="1" ht="30" customHeight="1" spans="1:6">
      <c r="A4765" s="9">
        <v>4762</v>
      </c>
      <c r="B4765" s="10" t="s">
        <v>3779</v>
      </c>
      <c r="C4765" s="10" t="s">
        <v>3780</v>
      </c>
      <c r="D4765" s="10" t="s">
        <v>4653</v>
      </c>
      <c r="E4765" s="10" t="str">
        <f>"644020240517063520184562"</f>
        <v>644020240517063520184562</v>
      </c>
      <c r="F4765" s="9"/>
    </row>
    <row r="4766" s="2" customFormat="1" ht="30" customHeight="1" spans="1:6">
      <c r="A4766" s="9">
        <v>4763</v>
      </c>
      <c r="B4766" s="10" t="s">
        <v>3779</v>
      </c>
      <c r="C4766" s="10" t="s">
        <v>3780</v>
      </c>
      <c r="D4766" s="10" t="s">
        <v>4654</v>
      </c>
      <c r="E4766" s="10" t="str">
        <f>"644020240517113237185028"</f>
        <v>644020240517113237185028</v>
      </c>
      <c r="F4766" s="9"/>
    </row>
    <row r="4767" s="2" customFormat="1" ht="30" customHeight="1" spans="1:6">
      <c r="A4767" s="9">
        <v>4764</v>
      </c>
      <c r="B4767" s="10" t="s">
        <v>3779</v>
      </c>
      <c r="C4767" s="10" t="s">
        <v>3780</v>
      </c>
      <c r="D4767" s="10" t="s">
        <v>4655</v>
      </c>
      <c r="E4767" s="10" t="str">
        <f>"644020240516160801183634"</f>
        <v>644020240516160801183634</v>
      </c>
      <c r="F4767" s="9"/>
    </row>
    <row r="4768" s="2" customFormat="1" ht="30" customHeight="1" spans="1:6">
      <c r="A4768" s="9">
        <v>4765</v>
      </c>
      <c r="B4768" s="10" t="s">
        <v>3779</v>
      </c>
      <c r="C4768" s="10" t="s">
        <v>3780</v>
      </c>
      <c r="D4768" s="10" t="s">
        <v>4656</v>
      </c>
      <c r="E4768" s="10" t="str">
        <f>"644020240517074245184584"</f>
        <v>644020240517074245184584</v>
      </c>
      <c r="F4768" s="9"/>
    </row>
    <row r="4769" s="2" customFormat="1" ht="30" customHeight="1" spans="1:6">
      <c r="A4769" s="9">
        <v>4766</v>
      </c>
      <c r="B4769" s="10" t="s">
        <v>3779</v>
      </c>
      <c r="C4769" s="10" t="s">
        <v>3780</v>
      </c>
      <c r="D4769" s="10" t="s">
        <v>4657</v>
      </c>
      <c r="E4769" s="10" t="str">
        <f>"644020240516160820183635"</f>
        <v>644020240516160820183635</v>
      </c>
      <c r="F4769" s="9"/>
    </row>
    <row r="4770" s="2" customFormat="1" ht="30" customHeight="1" spans="1:6">
      <c r="A4770" s="9">
        <v>4767</v>
      </c>
      <c r="B4770" s="10" t="s">
        <v>3779</v>
      </c>
      <c r="C4770" s="10" t="s">
        <v>3780</v>
      </c>
      <c r="D4770" s="10" t="s">
        <v>4658</v>
      </c>
      <c r="E4770" s="10" t="str">
        <f>"644020240517121328185098"</f>
        <v>644020240517121328185098</v>
      </c>
      <c r="F4770" s="9"/>
    </row>
    <row r="4771" s="2" customFormat="1" ht="30" customHeight="1" spans="1:6">
      <c r="A4771" s="9">
        <v>4768</v>
      </c>
      <c r="B4771" s="10" t="s">
        <v>3779</v>
      </c>
      <c r="C4771" s="10" t="s">
        <v>3780</v>
      </c>
      <c r="D4771" s="10" t="s">
        <v>4659</v>
      </c>
      <c r="E4771" s="10" t="str">
        <f>"644020240516122444183272"</f>
        <v>644020240516122444183272</v>
      </c>
      <c r="F4771" s="9"/>
    </row>
    <row r="4772" s="2" customFormat="1" ht="30" customHeight="1" spans="1:6">
      <c r="A4772" s="9">
        <v>4769</v>
      </c>
      <c r="B4772" s="10" t="s">
        <v>3779</v>
      </c>
      <c r="C4772" s="10" t="s">
        <v>3780</v>
      </c>
      <c r="D4772" s="10" t="s">
        <v>4660</v>
      </c>
      <c r="E4772" s="10" t="str">
        <f>"644020240515100128180947"</f>
        <v>644020240515100128180947</v>
      </c>
      <c r="F4772" s="9"/>
    </row>
    <row r="4773" s="2" customFormat="1" ht="30" customHeight="1" spans="1:6">
      <c r="A4773" s="9">
        <v>4770</v>
      </c>
      <c r="B4773" s="10" t="s">
        <v>3779</v>
      </c>
      <c r="C4773" s="10" t="s">
        <v>3780</v>
      </c>
      <c r="D4773" s="10" t="s">
        <v>4661</v>
      </c>
      <c r="E4773" s="10" t="str">
        <f>"644020240517080407184602"</f>
        <v>644020240517080407184602</v>
      </c>
      <c r="F4773" s="9"/>
    </row>
    <row r="4774" s="2" customFormat="1" ht="30" customHeight="1" spans="1:6">
      <c r="A4774" s="9">
        <v>4771</v>
      </c>
      <c r="B4774" s="10" t="s">
        <v>3779</v>
      </c>
      <c r="C4774" s="10" t="s">
        <v>3780</v>
      </c>
      <c r="D4774" s="10" t="s">
        <v>4662</v>
      </c>
      <c r="E4774" s="10" t="str">
        <f>"644020240517124547185165"</f>
        <v>644020240517124547185165</v>
      </c>
      <c r="F4774" s="9"/>
    </row>
    <row r="4775" s="2" customFormat="1" ht="30" customHeight="1" spans="1:6">
      <c r="A4775" s="9">
        <v>4772</v>
      </c>
      <c r="B4775" s="10" t="s">
        <v>3779</v>
      </c>
      <c r="C4775" s="10" t="s">
        <v>3780</v>
      </c>
      <c r="D4775" s="10" t="s">
        <v>4663</v>
      </c>
      <c r="E4775" s="10" t="str">
        <f>"644020240517114141185046"</f>
        <v>644020240517114141185046</v>
      </c>
      <c r="F4775" s="9"/>
    </row>
    <row r="4776" s="2" customFormat="1" ht="30" customHeight="1" spans="1:6">
      <c r="A4776" s="9">
        <v>4773</v>
      </c>
      <c r="B4776" s="10" t="s">
        <v>3779</v>
      </c>
      <c r="C4776" s="10" t="s">
        <v>3780</v>
      </c>
      <c r="D4776" s="10" t="s">
        <v>4664</v>
      </c>
      <c r="E4776" s="10" t="str">
        <f>"644020240517130331185210"</f>
        <v>644020240517130331185210</v>
      </c>
      <c r="F4776" s="9"/>
    </row>
    <row r="4777" s="2" customFormat="1" ht="30" customHeight="1" spans="1:6">
      <c r="A4777" s="9">
        <v>4774</v>
      </c>
      <c r="B4777" s="10" t="s">
        <v>3779</v>
      </c>
      <c r="C4777" s="10" t="s">
        <v>3780</v>
      </c>
      <c r="D4777" s="10" t="s">
        <v>57</v>
      </c>
      <c r="E4777" s="10" t="str">
        <f>"644020240513101650173278"</f>
        <v>644020240513101650173278</v>
      </c>
      <c r="F4777" s="9"/>
    </row>
    <row r="4778" s="2" customFormat="1" ht="30" customHeight="1" spans="1:6">
      <c r="A4778" s="9">
        <v>4775</v>
      </c>
      <c r="B4778" s="10" t="s">
        <v>3779</v>
      </c>
      <c r="C4778" s="10" t="s">
        <v>3780</v>
      </c>
      <c r="D4778" s="10" t="s">
        <v>4665</v>
      </c>
      <c r="E4778" s="10" t="str">
        <f>"644020240517123959185150"</f>
        <v>644020240517123959185150</v>
      </c>
      <c r="F4778" s="9"/>
    </row>
    <row r="4779" s="2" customFormat="1" ht="30" customHeight="1" spans="1:6">
      <c r="A4779" s="9">
        <v>4776</v>
      </c>
      <c r="B4779" s="10" t="s">
        <v>3779</v>
      </c>
      <c r="C4779" s="10" t="s">
        <v>3780</v>
      </c>
      <c r="D4779" s="10" t="s">
        <v>4666</v>
      </c>
      <c r="E4779" s="10" t="str">
        <f>"644020240517124835185170"</f>
        <v>644020240517124835185170</v>
      </c>
      <c r="F4779" s="9"/>
    </row>
    <row r="4780" s="2" customFormat="1" ht="30" customHeight="1" spans="1:6">
      <c r="A4780" s="9">
        <v>4777</v>
      </c>
      <c r="B4780" s="10" t="s">
        <v>3779</v>
      </c>
      <c r="C4780" s="10" t="s">
        <v>3780</v>
      </c>
      <c r="D4780" s="10" t="s">
        <v>4667</v>
      </c>
      <c r="E4780" s="10" t="str">
        <f>"644020240517125705185195"</f>
        <v>644020240517125705185195</v>
      </c>
      <c r="F4780" s="9"/>
    </row>
    <row r="4781" s="2" customFormat="1" ht="30" customHeight="1" spans="1:6">
      <c r="A4781" s="9">
        <v>4778</v>
      </c>
      <c r="B4781" s="10" t="s">
        <v>3779</v>
      </c>
      <c r="C4781" s="10" t="s">
        <v>3780</v>
      </c>
      <c r="D4781" s="10" t="s">
        <v>4668</v>
      </c>
      <c r="E4781" s="10" t="str">
        <f>"644020240513134344174725"</f>
        <v>644020240513134344174725</v>
      </c>
      <c r="F4781" s="9"/>
    </row>
    <row r="4782" s="2" customFormat="1" ht="30" customHeight="1" spans="1:6">
      <c r="A4782" s="9">
        <v>4779</v>
      </c>
      <c r="B4782" s="10" t="s">
        <v>3779</v>
      </c>
      <c r="C4782" s="10" t="s">
        <v>3780</v>
      </c>
      <c r="D4782" s="10" t="s">
        <v>4669</v>
      </c>
      <c r="E4782" s="10" t="str">
        <f>"644020240517132014185246"</f>
        <v>644020240517132014185246</v>
      </c>
      <c r="F4782" s="9"/>
    </row>
    <row r="4783" s="2" customFormat="1" ht="30" customHeight="1" spans="1:6">
      <c r="A4783" s="9">
        <v>4780</v>
      </c>
      <c r="B4783" s="10" t="s">
        <v>3779</v>
      </c>
      <c r="C4783" s="10" t="s">
        <v>3780</v>
      </c>
      <c r="D4783" s="10" t="s">
        <v>4670</v>
      </c>
      <c r="E4783" s="10" t="str">
        <f>"644020240517132852185260"</f>
        <v>644020240517132852185260</v>
      </c>
      <c r="F4783" s="9"/>
    </row>
    <row r="4784" s="2" customFormat="1" ht="30" customHeight="1" spans="1:6">
      <c r="A4784" s="9">
        <v>4781</v>
      </c>
      <c r="B4784" s="10" t="s">
        <v>3779</v>
      </c>
      <c r="C4784" s="10" t="s">
        <v>3780</v>
      </c>
      <c r="D4784" s="10" t="s">
        <v>4671</v>
      </c>
      <c r="E4784" s="10" t="str">
        <f>"644020240517124840185171"</f>
        <v>644020240517124840185171</v>
      </c>
      <c r="F4784" s="9"/>
    </row>
    <row r="4785" s="2" customFormat="1" ht="30" customHeight="1" spans="1:6">
      <c r="A4785" s="9">
        <v>4782</v>
      </c>
      <c r="B4785" s="10" t="s">
        <v>3779</v>
      </c>
      <c r="C4785" s="10" t="s">
        <v>3780</v>
      </c>
      <c r="D4785" s="10" t="s">
        <v>4672</v>
      </c>
      <c r="E4785" s="10" t="str">
        <f>"644020240517134607185291"</f>
        <v>644020240517134607185291</v>
      </c>
      <c r="F4785" s="9"/>
    </row>
    <row r="4786" s="2" customFormat="1" ht="30" customHeight="1" spans="1:6">
      <c r="A4786" s="9">
        <v>4783</v>
      </c>
      <c r="B4786" s="10" t="s">
        <v>3779</v>
      </c>
      <c r="C4786" s="10" t="s">
        <v>3780</v>
      </c>
      <c r="D4786" s="10" t="s">
        <v>4673</v>
      </c>
      <c r="E4786" s="10" t="str">
        <f>"644020240515114754181293"</f>
        <v>644020240515114754181293</v>
      </c>
      <c r="F4786" s="9"/>
    </row>
    <row r="4787" s="2" customFormat="1" ht="30" customHeight="1" spans="1:6">
      <c r="A4787" s="9">
        <v>4784</v>
      </c>
      <c r="B4787" s="10" t="s">
        <v>3779</v>
      </c>
      <c r="C4787" s="10" t="s">
        <v>3780</v>
      </c>
      <c r="D4787" s="10" t="s">
        <v>4674</v>
      </c>
      <c r="E4787" s="10" t="str">
        <f>"644020240517133726185277"</f>
        <v>644020240517133726185277</v>
      </c>
      <c r="F4787" s="9"/>
    </row>
    <row r="4788" s="2" customFormat="1" ht="30" customHeight="1" spans="1:6">
      <c r="A4788" s="9">
        <v>4785</v>
      </c>
      <c r="B4788" s="10" t="s">
        <v>3779</v>
      </c>
      <c r="C4788" s="10" t="s">
        <v>3780</v>
      </c>
      <c r="D4788" s="10" t="s">
        <v>4675</v>
      </c>
      <c r="E4788" s="10" t="str">
        <f>"644020240517133256185267"</f>
        <v>644020240517133256185267</v>
      </c>
      <c r="F4788" s="9"/>
    </row>
    <row r="4789" s="2" customFormat="1" ht="30" customHeight="1" spans="1:6">
      <c r="A4789" s="9">
        <v>4786</v>
      </c>
      <c r="B4789" s="10" t="s">
        <v>3779</v>
      </c>
      <c r="C4789" s="10" t="s">
        <v>3780</v>
      </c>
      <c r="D4789" s="10" t="s">
        <v>4676</v>
      </c>
      <c r="E4789" s="10" t="str">
        <f>"644020240517134132185284"</f>
        <v>644020240517134132185284</v>
      </c>
      <c r="F4789" s="9"/>
    </row>
    <row r="4790" s="2" customFormat="1" ht="30" customHeight="1" spans="1:6">
      <c r="A4790" s="9">
        <v>4787</v>
      </c>
      <c r="B4790" s="10" t="s">
        <v>3779</v>
      </c>
      <c r="C4790" s="10" t="s">
        <v>3780</v>
      </c>
      <c r="D4790" s="10" t="s">
        <v>4677</v>
      </c>
      <c r="E4790" s="10" t="str">
        <f>"644020240517125137185177"</f>
        <v>644020240517125137185177</v>
      </c>
      <c r="F4790" s="9"/>
    </row>
    <row r="4791" s="2" customFormat="1" ht="30" customHeight="1" spans="1:6">
      <c r="A4791" s="9">
        <v>4788</v>
      </c>
      <c r="B4791" s="10" t="s">
        <v>3779</v>
      </c>
      <c r="C4791" s="10" t="s">
        <v>3780</v>
      </c>
      <c r="D4791" s="10" t="s">
        <v>4678</v>
      </c>
      <c r="E4791" s="10" t="str">
        <f>"644020240516215756184215"</f>
        <v>644020240516215756184215</v>
      </c>
      <c r="F4791" s="9"/>
    </row>
    <row r="4792" s="2" customFormat="1" ht="30" customHeight="1" spans="1:6">
      <c r="A4792" s="9">
        <v>4789</v>
      </c>
      <c r="B4792" s="10" t="s">
        <v>3779</v>
      </c>
      <c r="C4792" s="10" t="s">
        <v>3780</v>
      </c>
      <c r="D4792" s="10" t="s">
        <v>4679</v>
      </c>
      <c r="E4792" s="10" t="str">
        <f>"644020240517134552185290"</f>
        <v>644020240517134552185290</v>
      </c>
      <c r="F4792" s="9"/>
    </row>
    <row r="4793" s="2" customFormat="1" ht="30" customHeight="1" spans="1:6">
      <c r="A4793" s="9">
        <v>4790</v>
      </c>
      <c r="B4793" s="10" t="s">
        <v>3779</v>
      </c>
      <c r="C4793" s="10" t="s">
        <v>3780</v>
      </c>
      <c r="D4793" s="10" t="s">
        <v>4680</v>
      </c>
      <c r="E4793" s="10" t="str">
        <f>"644020240517141438185336"</f>
        <v>644020240517141438185336</v>
      </c>
      <c r="F4793" s="9"/>
    </row>
    <row r="4794" s="2" customFormat="1" ht="30" customHeight="1" spans="1:6">
      <c r="A4794" s="9">
        <v>4791</v>
      </c>
      <c r="B4794" s="10" t="s">
        <v>3779</v>
      </c>
      <c r="C4794" s="10" t="s">
        <v>3780</v>
      </c>
      <c r="D4794" s="10" t="s">
        <v>3727</v>
      </c>
      <c r="E4794" s="10" t="str">
        <f>"644020240517094734184782"</f>
        <v>644020240517094734184782</v>
      </c>
      <c r="F4794" s="9"/>
    </row>
    <row r="4795" s="2" customFormat="1" ht="30" customHeight="1" spans="1:6">
      <c r="A4795" s="9">
        <v>4792</v>
      </c>
      <c r="B4795" s="10" t="s">
        <v>3779</v>
      </c>
      <c r="C4795" s="10" t="s">
        <v>3780</v>
      </c>
      <c r="D4795" s="10" t="s">
        <v>4681</v>
      </c>
      <c r="E4795" s="10" t="str">
        <f>"644020240517141102185329"</f>
        <v>644020240517141102185329</v>
      </c>
      <c r="F4795" s="9"/>
    </row>
    <row r="4796" s="2" customFormat="1" ht="30" customHeight="1" spans="1:6">
      <c r="A4796" s="9">
        <v>4793</v>
      </c>
      <c r="B4796" s="10" t="s">
        <v>3779</v>
      </c>
      <c r="C4796" s="10" t="s">
        <v>3780</v>
      </c>
      <c r="D4796" s="10" t="s">
        <v>4682</v>
      </c>
      <c r="E4796" s="10" t="str">
        <f>"644020240516221131184247"</f>
        <v>644020240516221131184247</v>
      </c>
      <c r="F4796" s="9"/>
    </row>
    <row r="4797" s="2" customFormat="1" ht="30" customHeight="1" spans="1:6">
      <c r="A4797" s="9">
        <v>4794</v>
      </c>
      <c r="B4797" s="10" t="s">
        <v>3779</v>
      </c>
      <c r="C4797" s="10" t="s">
        <v>3780</v>
      </c>
      <c r="D4797" s="10" t="s">
        <v>4237</v>
      </c>
      <c r="E4797" s="10" t="str">
        <f>"644020240517141548185339"</f>
        <v>644020240517141548185339</v>
      </c>
      <c r="F4797" s="9"/>
    </row>
    <row r="4798" s="2" customFormat="1" ht="30" customHeight="1" spans="1:6">
      <c r="A4798" s="9">
        <v>4795</v>
      </c>
      <c r="B4798" s="10" t="s">
        <v>3779</v>
      </c>
      <c r="C4798" s="10" t="s">
        <v>3780</v>
      </c>
      <c r="D4798" s="10" t="s">
        <v>4683</v>
      </c>
      <c r="E4798" s="10" t="str">
        <f>"644020240517113953185042"</f>
        <v>644020240517113953185042</v>
      </c>
      <c r="F4798" s="9"/>
    </row>
    <row r="4799" s="2" customFormat="1" ht="30" customHeight="1" spans="1:6">
      <c r="A4799" s="9">
        <v>4796</v>
      </c>
      <c r="B4799" s="10" t="s">
        <v>3779</v>
      </c>
      <c r="C4799" s="10" t="s">
        <v>3780</v>
      </c>
      <c r="D4799" s="10" t="s">
        <v>4684</v>
      </c>
      <c r="E4799" s="10" t="str">
        <f>"644020240517144132185382"</f>
        <v>644020240517144132185382</v>
      </c>
      <c r="F4799" s="9"/>
    </row>
    <row r="4800" s="2" customFormat="1" ht="30" customHeight="1" spans="1:6">
      <c r="A4800" s="9">
        <v>4797</v>
      </c>
      <c r="B4800" s="10" t="s">
        <v>3779</v>
      </c>
      <c r="C4800" s="10" t="s">
        <v>3780</v>
      </c>
      <c r="D4800" s="10" t="s">
        <v>4685</v>
      </c>
      <c r="E4800" s="10" t="str">
        <f>"644020240517134140185285"</f>
        <v>644020240517134140185285</v>
      </c>
      <c r="F4800" s="9"/>
    </row>
    <row r="4801" s="2" customFormat="1" ht="30" customHeight="1" spans="1:6">
      <c r="A4801" s="9">
        <v>4798</v>
      </c>
      <c r="B4801" s="10" t="s">
        <v>3779</v>
      </c>
      <c r="C4801" s="10" t="s">
        <v>3780</v>
      </c>
      <c r="D4801" s="10" t="s">
        <v>4686</v>
      </c>
      <c r="E4801" s="10" t="str">
        <f>"644020240517131757185242"</f>
        <v>644020240517131757185242</v>
      </c>
      <c r="F4801" s="9"/>
    </row>
    <row r="4802" s="2" customFormat="1" ht="30" customHeight="1" spans="1:6">
      <c r="A4802" s="9">
        <v>4799</v>
      </c>
      <c r="B4802" s="10" t="s">
        <v>3779</v>
      </c>
      <c r="C4802" s="10" t="s">
        <v>3780</v>
      </c>
      <c r="D4802" s="10" t="s">
        <v>4687</v>
      </c>
      <c r="E4802" s="10" t="str">
        <f>"644020240516164942183737"</f>
        <v>644020240516164942183737</v>
      </c>
      <c r="F4802" s="9"/>
    </row>
    <row r="4803" s="2" customFormat="1" ht="30" customHeight="1" spans="1:6">
      <c r="A4803" s="9">
        <v>4800</v>
      </c>
      <c r="B4803" s="10" t="s">
        <v>3779</v>
      </c>
      <c r="C4803" s="10" t="s">
        <v>3780</v>
      </c>
      <c r="D4803" s="10" t="s">
        <v>4688</v>
      </c>
      <c r="E4803" s="10" t="str">
        <f>"644020240515175334182046"</f>
        <v>644020240515175334182046</v>
      </c>
      <c r="F4803" s="9"/>
    </row>
    <row r="4804" s="2" customFormat="1" ht="30" customHeight="1" spans="1:6">
      <c r="A4804" s="9">
        <v>4801</v>
      </c>
      <c r="B4804" s="10" t="s">
        <v>3779</v>
      </c>
      <c r="C4804" s="10" t="s">
        <v>3780</v>
      </c>
      <c r="D4804" s="10" t="s">
        <v>4689</v>
      </c>
      <c r="E4804" s="10" t="str">
        <f>"644020240517145354185410"</f>
        <v>644020240517145354185410</v>
      </c>
      <c r="F4804" s="9"/>
    </row>
    <row r="4805" s="2" customFormat="1" ht="30" customHeight="1" spans="1:6">
      <c r="A4805" s="9">
        <v>4802</v>
      </c>
      <c r="B4805" s="10" t="s">
        <v>3779</v>
      </c>
      <c r="C4805" s="10" t="s">
        <v>3780</v>
      </c>
      <c r="D4805" s="10" t="s">
        <v>4690</v>
      </c>
      <c r="E4805" s="10" t="str">
        <f>"644020240517130509185214"</f>
        <v>644020240517130509185214</v>
      </c>
      <c r="F4805" s="9"/>
    </row>
    <row r="4806" s="2" customFormat="1" ht="30" customHeight="1" spans="1:6">
      <c r="A4806" s="9">
        <v>4803</v>
      </c>
      <c r="B4806" s="10" t="s">
        <v>3779</v>
      </c>
      <c r="C4806" s="10" t="s">
        <v>3780</v>
      </c>
      <c r="D4806" s="10" t="s">
        <v>4691</v>
      </c>
      <c r="E4806" s="10" t="str">
        <f>"644020240516180553183890"</f>
        <v>644020240516180553183890</v>
      </c>
      <c r="F4806" s="9"/>
    </row>
    <row r="4807" s="2" customFormat="1" ht="30" customHeight="1" spans="1:6">
      <c r="A4807" s="9">
        <v>4804</v>
      </c>
      <c r="B4807" s="10" t="s">
        <v>3779</v>
      </c>
      <c r="C4807" s="10" t="s">
        <v>3780</v>
      </c>
      <c r="D4807" s="10" t="s">
        <v>4692</v>
      </c>
      <c r="E4807" s="10" t="str">
        <f>"644020240517091402184712"</f>
        <v>644020240517091402184712</v>
      </c>
      <c r="F4807" s="9"/>
    </row>
    <row r="4808" s="2" customFormat="1" ht="30" customHeight="1" spans="1:6">
      <c r="A4808" s="9">
        <v>4805</v>
      </c>
      <c r="B4808" s="10" t="s">
        <v>3779</v>
      </c>
      <c r="C4808" s="10" t="s">
        <v>3780</v>
      </c>
      <c r="D4808" s="10" t="s">
        <v>4693</v>
      </c>
      <c r="E4808" s="10" t="str">
        <f>"644020240514141730179108"</f>
        <v>644020240514141730179108</v>
      </c>
      <c r="F4808" s="9"/>
    </row>
    <row r="4809" s="2" customFormat="1" ht="30" customHeight="1" spans="1:6">
      <c r="A4809" s="9">
        <v>4806</v>
      </c>
      <c r="B4809" s="10" t="s">
        <v>3779</v>
      </c>
      <c r="C4809" s="10" t="s">
        <v>3780</v>
      </c>
      <c r="D4809" s="10" t="s">
        <v>4694</v>
      </c>
      <c r="E4809" s="10" t="str">
        <f>"644020240517155139185570"</f>
        <v>644020240517155139185570</v>
      </c>
      <c r="F4809" s="9"/>
    </row>
    <row r="4810" s="2" customFormat="1" ht="30" customHeight="1" spans="1:6">
      <c r="A4810" s="9">
        <v>4807</v>
      </c>
      <c r="B4810" s="10" t="s">
        <v>3779</v>
      </c>
      <c r="C4810" s="10" t="s">
        <v>3780</v>
      </c>
      <c r="D4810" s="10" t="s">
        <v>4695</v>
      </c>
      <c r="E4810" s="10" t="str">
        <f>"644020240517160049185590"</f>
        <v>644020240517160049185590</v>
      </c>
      <c r="F4810" s="9"/>
    </row>
    <row r="4811" s="2" customFormat="1" ht="30" customHeight="1" spans="1:6">
      <c r="A4811" s="9">
        <v>4808</v>
      </c>
      <c r="B4811" s="10" t="s">
        <v>3779</v>
      </c>
      <c r="C4811" s="10" t="s">
        <v>3780</v>
      </c>
      <c r="D4811" s="10" t="s">
        <v>4696</v>
      </c>
      <c r="E4811" s="10" t="str">
        <f>"644020240517152846185503"</f>
        <v>644020240517152846185503</v>
      </c>
      <c r="F4811" s="9"/>
    </row>
    <row r="4812" s="2" customFormat="1" ht="30" customHeight="1" spans="1:6">
      <c r="A4812" s="9">
        <v>4809</v>
      </c>
      <c r="B4812" s="10" t="s">
        <v>3779</v>
      </c>
      <c r="C4812" s="10" t="s">
        <v>3780</v>
      </c>
      <c r="D4812" s="10" t="s">
        <v>4697</v>
      </c>
      <c r="E4812" s="10" t="str">
        <f>"644020240517161116185616"</f>
        <v>644020240517161116185616</v>
      </c>
      <c r="F4812" s="9"/>
    </row>
    <row r="4813" s="2" customFormat="1" ht="30" customHeight="1" spans="1:6">
      <c r="A4813" s="9">
        <v>4810</v>
      </c>
      <c r="B4813" s="10" t="s">
        <v>3779</v>
      </c>
      <c r="C4813" s="10" t="s">
        <v>3780</v>
      </c>
      <c r="D4813" s="10" t="s">
        <v>4698</v>
      </c>
      <c r="E4813" s="10" t="str">
        <f>"644020240517110301184957"</f>
        <v>644020240517110301184957</v>
      </c>
      <c r="F4813" s="9"/>
    </row>
    <row r="4814" s="2" customFormat="1" ht="30" customHeight="1" spans="1:6">
      <c r="A4814" s="9">
        <v>4811</v>
      </c>
      <c r="B4814" s="10" t="s">
        <v>3779</v>
      </c>
      <c r="C4814" s="10" t="s">
        <v>3780</v>
      </c>
      <c r="D4814" s="10" t="s">
        <v>4699</v>
      </c>
      <c r="E4814" s="10" t="str">
        <f>"644020240516111518183146"</f>
        <v>644020240516111518183146</v>
      </c>
      <c r="F4814" s="9"/>
    </row>
    <row r="4815" s="2" customFormat="1" ht="30" customHeight="1" spans="1:6">
      <c r="A4815" s="9">
        <v>4812</v>
      </c>
      <c r="B4815" s="10" t="s">
        <v>3779</v>
      </c>
      <c r="C4815" s="10" t="s">
        <v>3780</v>
      </c>
      <c r="D4815" s="10" t="s">
        <v>4700</v>
      </c>
      <c r="E4815" s="10" t="str">
        <f>"644020240517163211185653"</f>
        <v>644020240517163211185653</v>
      </c>
      <c r="F4815" s="9"/>
    </row>
    <row r="4816" s="2" customFormat="1" ht="30" customHeight="1" spans="1:6">
      <c r="A4816" s="9">
        <v>4813</v>
      </c>
      <c r="B4816" s="10" t="s">
        <v>3779</v>
      </c>
      <c r="C4816" s="10" t="s">
        <v>3780</v>
      </c>
      <c r="D4816" s="10" t="s">
        <v>4701</v>
      </c>
      <c r="E4816" s="10" t="str">
        <f>"644020240515095502180935"</f>
        <v>644020240515095502180935</v>
      </c>
      <c r="F4816" s="9"/>
    </row>
    <row r="4817" s="2" customFormat="1" ht="30" customHeight="1" spans="1:6">
      <c r="A4817" s="9">
        <v>4814</v>
      </c>
      <c r="B4817" s="10" t="s">
        <v>3779</v>
      </c>
      <c r="C4817" s="10" t="s">
        <v>3780</v>
      </c>
      <c r="D4817" s="10" t="s">
        <v>4702</v>
      </c>
      <c r="E4817" s="10" t="str">
        <f>"644020240517161054185615"</f>
        <v>644020240517161054185615</v>
      </c>
      <c r="F4817" s="9"/>
    </row>
    <row r="4818" s="2" customFormat="1" ht="30" customHeight="1" spans="1:6">
      <c r="A4818" s="9">
        <v>4815</v>
      </c>
      <c r="B4818" s="10" t="s">
        <v>3779</v>
      </c>
      <c r="C4818" s="10" t="s">
        <v>3780</v>
      </c>
      <c r="D4818" s="10" t="s">
        <v>4703</v>
      </c>
      <c r="E4818" s="10" t="str">
        <f>"644020240517164136185673"</f>
        <v>644020240517164136185673</v>
      </c>
      <c r="F4818" s="9"/>
    </row>
    <row r="4819" s="2" customFormat="1" ht="30" customHeight="1" spans="1:6">
      <c r="A4819" s="9">
        <v>4816</v>
      </c>
      <c r="B4819" s="10" t="s">
        <v>3779</v>
      </c>
      <c r="C4819" s="10" t="s">
        <v>3780</v>
      </c>
      <c r="D4819" s="10" t="s">
        <v>4704</v>
      </c>
      <c r="E4819" s="10" t="str">
        <f>"644020240517153502185523"</f>
        <v>644020240517153502185523</v>
      </c>
      <c r="F4819" s="9"/>
    </row>
    <row r="4820" s="2" customFormat="1" ht="30" customHeight="1" spans="1:6">
      <c r="A4820" s="9">
        <v>4817</v>
      </c>
      <c r="B4820" s="10" t="s">
        <v>3779</v>
      </c>
      <c r="C4820" s="10" t="s">
        <v>3780</v>
      </c>
      <c r="D4820" s="10" t="s">
        <v>4705</v>
      </c>
      <c r="E4820" s="10" t="str">
        <f>"644020240517153034185513"</f>
        <v>644020240517153034185513</v>
      </c>
      <c r="F4820" s="9"/>
    </row>
    <row r="4821" s="2" customFormat="1" ht="30" customHeight="1" spans="1:6">
      <c r="A4821" s="9">
        <v>4818</v>
      </c>
      <c r="B4821" s="10" t="s">
        <v>3779</v>
      </c>
      <c r="C4821" s="10" t="s">
        <v>3780</v>
      </c>
      <c r="D4821" s="10" t="s">
        <v>4706</v>
      </c>
      <c r="E4821" s="10" t="str">
        <f>"644020240517162339185639"</f>
        <v>644020240517162339185639</v>
      </c>
      <c r="F4821" s="9"/>
    </row>
    <row r="4822" s="2" customFormat="1" ht="30" customHeight="1" spans="1:6">
      <c r="A4822" s="9">
        <v>4819</v>
      </c>
      <c r="B4822" s="10" t="s">
        <v>3779</v>
      </c>
      <c r="C4822" s="10" t="s">
        <v>3780</v>
      </c>
      <c r="D4822" s="10" t="s">
        <v>4707</v>
      </c>
      <c r="E4822" s="10" t="str">
        <f>"644020240516160541183627"</f>
        <v>644020240516160541183627</v>
      </c>
      <c r="F4822" s="9"/>
    </row>
    <row r="4823" s="2" customFormat="1" ht="30" customHeight="1" spans="1:6">
      <c r="A4823" s="9">
        <v>4820</v>
      </c>
      <c r="B4823" s="10" t="s">
        <v>3779</v>
      </c>
      <c r="C4823" s="10" t="s">
        <v>3780</v>
      </c>
      <c r="D4823" s="10" t="s">
        <v>4708</v>
      </c>
      <c r="E4823" s="10" t="str">
        <f>"644020240517161338185620"</f>
        <v>644020240517161338185620</v>
      </c>
      <c r="F4823" s="9"/>
    </row>
    <row r="4824" s="2" customFormat="1" ht="30" customHeight="1" spans="1:6">
      <c r="A4824" s="9">
        <v>4821</v>
      </c>
      <c r="B4824" s="10" t="s">
        <v>3779</v>
      </c>
      <c r="C4824" s="10" t="s">
        <v>3780</v>
      </c>
      <c r="D4824" s="10" t="s">
        <v>4709</v>
      </c>
      <c r="E4824" s="10" t="str">
        <f>"644020240517162555185645"</f>
        <v>644020240517162555185645</v>
      </c>
      <c r="F4824" s="9"/>
    </row>
    <row r="4825" s="2" customFormat="1" ht="30" customHeight="1" spans="1:6">
      <c r="A4825" s="9">
        <v>4822</v>
      </c>
      <c r="B4825" s="10" t="s">
        <v>3779</v>
      </c>
      <c r="C4825" s="10" t="s">
        <v>3780</v>
      </c>
      <c r="D4825" s="10" t="s">
        <v>4234</v>
      </c>
      <c r="E4825" s="10" t="str">
        <f>"644020240517151604185463"</f>
        <v>644020240517151604185463</v>
      </c>
      <c r="F4825" s="9"/>
    </row>
    <row r="4826" s="2" customFormat="1" ht="30" customHeight="1" spans="1:6">
      <c r="A4826" s="9">
        <v>4823</v>
      </c>
      <c r="B4826" s="10" t="s">
        <v>3779</v>
      </c>
      <c r="C4826" s="10" t="s">
        <v>3780</v>
      </c>
      <c r="D4826" s="10" t="s">
        <v>4710</v>
      </c>
      <c r="E4826" s="10" t="str">
        <f>"644020240517171059185720"</f>
        <v>644020240517171059185720</v>
      </c>
      <c r="F4826" s="9"/>
    </row>
    <row r="4827" s="2" customFormat="1" ht="30" customHeight="1" spans="1:6">
      <c r="A4827" s="9">
        <v>4824</v>
      </c>
      <c r="B4827" s="10" t="s">
        <v>3779</v>
      </c>
      <c r="C4827" s="10" t="s">
        <v>3780</v>
      </c>
      <c r="D4827" s="10" t="s">
        <v>4711</v>
      </c>
      <c r="E4827" s="10" t="str">
        <f>"644020240517095206184792"</f>
        <v>644020240517095206184792</v>
      </c>
      <c r="F4827" s="9"/>
    </row>
    <row r="4828" s="2" customFormat="1" ht="30" customHeight="1" spans="1:6">
      <c r="A4828" s="9">
        <v>4825</v>
      </c>
      <c r="B4828" s="10" t="s">
        <v>3779</v>
      </c>
      <c r="C4828" s="10" t="s">
        <v>3780</v>
      </c>
      <c r="D4828" s="10" t="s">
        <v>4712</v>
      </c>
      <c r="E4828" s="10" t="str">
        <f>"644020240513230247177503"</f>
        <v>644020240513230247177503</v>
      </c>
      <c r="F4828" s="9"/>
    </row>
    <row r="4829" s="2" customFormat="1" ht="30" customHeight="1" spans="1:6">
      <c r="A4829" s="9">
        <v>4826</v>
      </c>
      <c r="B4829" s="10" t="s">
        <v>3779</v>
      </c>
      <c r="C4829" s="10" t="s">
        <v>3780</v>
      </c>
      <c r="D4829" s="10" t="s">
        <v>4713</v>
      </c>
      <c r="E4829" s="10" t="str">
        <f>"644020240517165705185697"</f>
        <v>644020240517165705185697</v>
      </c>
      <c r="F4829" s="9"/>
    </row>
    <row r="4830" s="2" customFormat="1" ht="30" customHeight="1" spans="1:6">
      <c r="A4830" s="9">
        <v>4827</v>
      </c>
      <c r="B4830" s="10" t="s">
        <v>3779</v>
      </c>
      <c r="C4830" s="10" t="s">
        <v>3780</v>
      </c>
      <c r="D4830" s="10" t="s">
        <v>4714</v>
      </c>
      <c r="E4830" s="10" t="str">
        <f>"644020240517164505185679"</f>
        <v>644020240517164505185679</v>
      </c>
      <c r="F4830" s="9"/>
    </row>
    <row r="4831" s="2" customFormat="1" ht="30" customHeight="1" spans="1:6">
      <c r="A4831" s="9">
        <v>4828</v>
      </c>
      <c r="B4831" s="10" t="s">
        <v>3779</v>
      </c>
      <c r="C4831" s="10" t="s">
        <v>3780</v>
      </c>
      <c r="D4831" s="10" t="s">
        <v>4715</v>
      </c>
      <c r="E4831" s="10" t="str">
        <f>"644020240517160553185600"</f>
        <v>644020240517160553185600</v>
      </c>
      <c r="F4831" s="9"/>
    </row>
    <row r="4832" s="2" customFormat="1" ht="30" customHeight="1" spans="1:6">
      <c r="A4832" s="9">
        <v>4829</v>
      </c>
      <c r="B4832" s="10" t="s">
        <v>3779</v>
      </c>
      <c r="C4832" s="10" t="s">
        <v>3780</v>
      </c>
      <c r="D4832" s="10" t="s">
        <v>4716</v>
      </c>
      <c r="E4832" s="10" t="str">
        <f>"644020240517165530185695"</f>
        <v>644020240517165530185695</v>
      </c>
      <c r="F4832" s="9"/>
    </row>
    <row r="4833" s="2" customFormat="1" ht="30" customHeight="1" spans="1:6">
      <c r="A4833" s="9">
        <v>4830</v>
      </c>
      <c r="B4833" s="10" t="s">
        <v>3779</v>
      </c>
      <c r="C4833" s="10" t="s">
        <v>3780</v>
      </c>
      <c r="D4833" s="10" t="s">
        <v>4717</v>
      </c>
      <c r="E4833" s="10" t="str">
        <f>"644020240517140059185310"</f>
        <v>644020240517140059185310</v>
      </c>
      <c r="F4833" s="9"/>
    </row>
    <row r="4834" s="2" customFormat="1" ht="30" customHeight="1" spans="1:6">
      <c r="A4834" s="9">
        <v>4831</v>
      </c>
      <c r="B4834" s="10" t="s">
        <v>3779</v>
      </c>
      <c r="C4834" s="10" t="s">
        <v>3780</v>
      </c>
      <c r="D4834" s="10" t="s">
        <v>4718</v>
      </c>
      <c r="E4834" s="10" t="str">
        <f>"644020240516173927183852"</f>
        <v>644020240516173927183852</v>
      </c>
      <c r="F4834" s="9"/>
    </row>
    <row r="4835" s="2" customFormat="1" ht="30" customHeight="1" spans="1:6">
      <c r="A4835" s="9">
        <v>4832</v>
      </c>
      <c r="B4835" s="10" t="s">
        <v>3779</v>
      </c>
      <c r="C4835" s="10" t="s">
        <v>3780</v>
      </c>
      <c r="D4835" s="10" t="s">
        <v>4719</v>
      </c>
      <c r="E4835" s="10" t="str">
        <f>"644020240517173719185752"</f>
        <v>644020240517173719185752</v>
      </c>
      <c r="F4835" s="9"/>
    </row>
    <row r="4836" s="2" customFormat="1" ht="30" customHeight="1" spans="1:6">
      <c r="A4836" s="9">
        <v>4833</v>
      </c>
      <c r="B4836" s="10" t="s">
        <v>3779</v>
      </c>
      <c r="C4836" s="10" t="s">
        <v>3780</v>
      </c>
      <c r="D4836" s="10" t="s">
        <v>4720</v>
      </c>
      <c r="E4836" s="10" t="str">
        <f>"644020240517163119185650"</f>
        <v>644020240517163119185650</v>
      </c>
      <c r="F4836" s="9"/>
    </row>
    <row r="4837" s="2" customFormat="1" ht="30" customHeight="1" spans="1:6">
      <c r="A4837" s="9">
        <v>4834</v>
      </c>
      <c r="B4837" s="10" t="s">
        <v>3779</v>
      </c>
      <c r="C4837" s="10" t="s">
        <v>3780</v>
      </c>
      <c r="D4837" s="10" t="s">
        <v>4721</v>
      </c>
      <c r="E4837" s="10" t="str">
        <f>"644020240517172846185741"</f>
        <v>644020240517172846185741</v>
      </c>
      <c r="F4837" s="9"/>
    </row>
    <row r="4838" s="2" customFormat="1" ht="30" customHeight="1" spans="1:6">
      <c r="A4838" s="9">
        <v>4835</v>
      </c>
      <c r="B4838" s="10" t="s">
        <v>3779</v>
      </c>
      <c r="C4838" s="10" t="s">
        <v>3780</v>
      </c>
      <c r="D4838" s="10" t="s">
        <v>4722</v>
      </c>
      <c r="E4838" s="10" t="str">
        <f>"644020240512112256168851"</f>
        <v>644020240512112256168851</v>
      </c>
      <c r="F4838" s="9"/>
    </row>
    <row r="4839" s="2" customFormat="1" ht="30" customHeight="1" spans="1:6">
      <c r="A4839" s="9">
        <v>4836</v>
      </c>
      <c r="B4839" s="10" t="s">
        <v>3779</v>
      </c>
      <c r="C4839" s="10" t="s">
        <v>3780</v>
      </c>
      <c r="D4839" s="10" t="s">
        <v>1356</v>
      </c>
      <c r="E4839" s="10" t="str">
        <f>"644020240514180643179791"</f>
        <v>644020240514180643179791</v>
      </c>
      <c r="F4839" s="9"/>
    </row>
    <row r="4840" s="2" customFormat="1" ht="30" customHeight="1" spans="1:6">
      <c r="A4840" s="9">
        <v>4837</v>
      </c>
      <c r="B4840" s="10" t="s">
        <v>3779</v>
      </c>
      <c r="C4840" s="10" t="s">
        <v>3780</v>
      </c>
      <c r="D4840" s="10" t="s">
        <v>4723</v>
      </c>
      <c r="E4840" s="10" t="str">
        <f>"644020240516081933182756"</f>
        <v>644020240516081933182756</v>
      </c>
      <c r="F4840" s="9"/>
    </row>
    <row r="4841" s="2" customFormat="1" ht="30" customHeight="1" spans="1:6">
      <c r="A4841" s="9">
        <v>4838</v>
      </c>
      <c r="B4841" s="10" t="s">
        <v>3779</v>
      </c>
      <c r="C4841" s="10" t="s">
        <v>3780</v>
      </c>
      <c r="D4841" s="10" t="s">
        <v>4724</v>
      </c>
      <c r="E4841" s="10" t="str">
        <f>"644020240517180744185808"</f>
        <v>644020240517180744185808</v>
      </c>
      <c r="F4841" s="9"/>
    </row>
    <row r="4842" s="2" customFormat="1" ht="30" customHeight="1" spans="1:6">
      <c r="A4842" s="9">
        <v>4839</v>
      </c>
      <c r="B4842" s="10" t="s">
        <v>3779</v>
      </c>
      <c r="C4842" s="10" t="s">
        <v>3780</v>
      </c>
      <c r="D4842" s="10" t="s">
        <v>4725</v>
      </c>
      <c r="E4842" s="10" t="str">
        <f>"644020240513202759176818"</f>
        <v>644020240513202759176818</v>
      </c>
      <c r="F4842" s="9"/>
    </row>
    <row r="4843" s="2" customFormat="1" ht="30" customHeight="1" spans="1:6">
      <c r="A4843" s="9">
        <v>4840</v>
      </c>
      <c r="B4843" s="10" t="s">
        <v>3779</v>
      </c>
      <c r="C4843" s="10" t="s">
        <v>3780</v>
      </c>
      <c r="D4843" s="10" t="s">
        <v>2907</v>
      </c>
      <c r="E4843" s="10" t="str">
        <f>"644020240517184304185849"</f>
        <v>644020240517184304185849</v>
      </c>
      <c r="F4843" s="9"/>
    </row>
    <row r="4844" s="2" customFormat="1" ht="30" customHeight="1" spans="1:6">
      <c r="A4844" s="9">
        <v>4841</v>
      </c>
      <c r="B4844" s="10" t="s">
        <v>3779</v>
      </c>
      <c r="C4844" s="10" t="s">
        <v>3780</v>
      </c>
      <c r="D4844" s="10" t="s">
        <v>4726</v>
      </c>
      <c r="E4844" s="10" t="str">
        <f>"644020240514085412177927"</f>
        <v>644020240514085412177927</v>
      </c>
      <c r="F4844" s="9"/>
    </row>
    <row r="4845" s="2" customFormat="1" ht="30" customHeight="1" spans="1:6">
      <c r="A4845" s="9">
        <v>4842</v>
      </c>
      <c r="B4845" s="10" t="s">
        <v>3779</v>
      </c>
      <c r="C4845" s="10" t="s">
        <v>3780</v>
      </c>
      <c r="D4845" s="10" t="s">
        <v>4727</v>
      </c>
      <c r="E4845" s="10" t="str">
        <f>"644020240517184637185854"</f>
        <v>644020240517184637185854</v>
      </c>
      <c r="F4845" s="9"/>
    </row>
    <row r="4846" s="2" customFormat="1" ht="30" customHeight="1" spans="1:6">
      <c r="A4846" s="9">
        <v>4843</v>
      </c>
      <c r="B4846" s="10" t="s">
        <v>3779</v>
      </c>
      <c r="C4846" s="10" t="s">
        <v>3780</v>
      </c>
      <c r="D4846" s="10" t="s">
        <v>4728</v>
      </c>
      <c r="E4846" s="10" t="str">
        <f>"644020240517172651185738"</f>
        <v>644020240517172651185738</v>
      </c>
      <c r="F4846" s="9"/>
    </row>
    <row r="4847" s="2" customFormat="1" ht="30" customHeight="1" spans="1:6">
      <c r="A4847" s="9">
        <v>4844</v>
      </c>
      <c r="B4847" s="10" t="s">
        <v>3779</v>
      </c>
      <c r="C4847" s="10" t="s">
        <v>3780</v>
      </c>
      <c r="D4847" s="10" t="s">
        <v>4729</v>
      </c>
      <c r="E4847" s="10" t="str">
        <f>"644020240516130019183332"</f>
        <v>644020240516130019183332</v>
      </c>
      <c r="F4847" s="9"/>
    </row>
    <row r="4848" s="2" customFormat="1" ht="30" customHeight="1" spans="1:6">
      <c r="A4848" s="9">
        <v>4845</v>
      </c>
      <c r="B4848" s="10" t="s">
        <v>3779</v>
      </c>
      <c r="C4848" s="10" t="s">
        <v>3780</v>
      </c>
      <c r="D4848" s="10" t="s">
        <v>4730</v>
      </c>
      <c r="E4848" s="10" t="str">
        <f>"644020240517194025185902"</f>
        <v>644020240517194025185902</v>
      </c>
      <c r="F4848" s="9"/>
    </row>
    <row r="4849" s="2" customFormat="1" ht="30" customHeight="1" spans="1:6">
      <c r="A4849" s="9">
        <v>4846</v>
      </c>
      <c r="B4849" s="10" t="s">
        <v>3779</v>
      </c>
      <c r="C4849" s="10" t="s">
        <v>3780</v>
      </c>
      <c r="D4849" s="10" t="s">
        <v>4731</v>
      </c>
      <c r="E4849" s="10" t="str">
        <f>"644020240517180200185795"</f>
        <v>644020240517180200185795</v>
      </c>
      <c r="F4849" s="9"/>
    </row>
    <row r="4850" s="2" customFormat="1" ht="30" customHeight="1" spans="1:6">
      <c r="A4850" s="9">
        <v>4847</v>
      </c>
      <c r="B4850" s="10" t="s">
        <v>3779</v>
      </c>
      <c r="C4850" s="10" t="s">
        <v>3780</v>
      </c>
      <c r="D4850" s="10" t="s">
        <v>4732</v>
      </c>
      <c r="E4850" s="10" t="str">
        <f>"644020240517113950185041"</f>
        <v>644020240517113950185041</v>
      </c>
      <c r="F4850" s="9"/>
    </row>
    <row r="4851" s="2" customFormat="1" ht="30" customHeight="1" spans="1:6">
      <c r="A4851" s="9">
        <v>4848</v>
      </c>
      <c r="B4851" s="10" t="s">
        <v>3779</v>
      </c>
      <c r="C4851" s="10" t="s">
        <v>3780</v>
      </c>
      <c r="D4851" s="10" t="s">
        <v>4733</v>
      </c>
      <c r="E4851" s="10" t="str">
        <f>"644020240517175401185783"</f>
        <v>644020240517175401185783</v>
      </c>
      <c r="F4851" s="9"/>
    </row>
    <row r="4852" s="2" customFormat="1" ht="30" customHeight="1" spans="1:6">
      <c r="A4852" s="9">
        <v>4849</v>
      </c>
      <c r="B4852" s="10" t="s">
        <v>3779</v>
      </c>
      <c r="C4852" s="10" t="s">
        <v>3780</v>
      </c>
      <c r="D4852" s="10" t="s">
        <v>4734</v>
      </c>
      <c r="E4852" s="10" t="str">
        <f>"644020240515142008181545"</f>
        <v>644020240515142008181545</v>
      </c>
      <c r="F4852" s="9"/>
    </row>
    <row r="4853" s="2" customFormat="1" ht="30" customHeight="1" spans="1:6">
      <c r="A4853" s="9">
        <v>4850</v>
      </c>
      <c r="B4853" s="10" t="s">
        <v>3779</v>
      </c>
      <c r="C4853" s="10" t="s">
        <v>3780</v>
      </c>
      <c r="D4853" s="10" t="s">
        <v>4735</v>
      </c>
      <c r="E4853" s="10" t="str">
        <f>"644020240515173400182013"</f>
        <v>644020240515173400182013</v>
      </c>
      <c r="F4853" s="9"/>
    </row>
    <row r="4854" s="2" customFormat="1" ht="30" customHeight="1" spans="1:6">
      <c r="A4854" s="9">
        <v>4851</v>
      </c>
      <c r="B4854" s="10" t="s">
        <v>3779</v>
      </c>
      <c r="C4854" s="10" t="s">
        <v>3780</v>
      </c>
      <c r="D4854" s="10" t="s">
        <v>4736</v>
      </c>
      <c r="E4854" s="10" t="str">
        <f>"644020240517202150185942"</f>
        <v>644020240517202150185942</v>
      </c>
      <c r="F4854" s="9"/>
    </row>
    <row r="4855" s="2" customFormat="1" ht="30" customHeight="1" spans="1:6">
      <c r="A4855" s="9">
        <v>4852</v>
      </c>
      <c r="B4855" s="10" t="s">
        <v>3779</v>
      </c>
      <c r="C4855" s="10" t="s">
        <v>3780</v>
      </c>
      <c r="D4855" s="10" t="s">
        <v>4737</v>
      </c>
      <c r="E4855" s="10" t="str">
        <f>"644020240517201947185938"</f>
        <v>644020240517201947185938</v>
      </c>
      <c r="F4855" s="9"/>
    </row>
    <row r="4856" s="2" customFormat="1" ht="30" customHeight="1" spans="1:6">
      <c r="A4856" s="9">
        <v>4853</v>
      </c>
      <c r="B4856" s="10" t="s">
        <v>3779</v>
      </c>
      <c r="C4856" s="10" t="s">
        <v>3780</v>
      </c>
      <c r="D4856" s="10" t="s">
        <v>4738</v>
      </c>
      <c r="E4856" s="10" t="str">
        <f>"644020240513121437174215"</f>
        <v>644020240513121437174215</v>
      </c>
      <c r="F4856" s="9"/>
    </row>
    <row r="4857" s="2" customFormat="1" ht="30" customHeight="1" spans="1:6">
      <c r="A4857" s="9">
        <v>4854</v>
      </c>
      <c r="B4857" s="10" t="s">
        <v>3779</v>
      </c>
      <c r="C4857" s="10" t="s">
        <v>3780</v>
      </c>
      <c r="D4857" s="10" t="s">
        <v>4739</v>
      </c>
      <c r="E4857" s="10" t="str">
        <f>"644020240517192549185882"</f>
        <v>644020240517192549185882</v>
      </c>
      <c r="F4857" s="9"/>
    </row>
    <row r="4858" s="2" customFormat="1" ht="30" customHeight="1" spans="1:6">
      <c r="A4858" s="9">
        <v>4855</v>
      </c>
      <c r="B4858" s="10" t="s">
        <v>3779</v>
      </c>
      <c r="C4858" s="10" t="s">
        <v>3780</v>
      </c>
      <c r="D4858" s="10" t="s">
        <v>4740</v>
      </c>
      <c r="E4858" s="10" t="str">
        <f>"644020240517201928185935"</f>
        <v>644020240517201928185935</v>
      </c>
      <c r="F4858" s="9"/>
    </row>
    <row r="4859" s="2" customFormat="1" ht="30" customHeight="1" spans="1:6">
      <c r="A4859" s="9">
        <v>4856</v>
      </c>
      <c r="B4859" s="10" t="s">
        <v>3779</v>
      </c>
      <c r="C4859" s="10" t="s">
        <v>3780</v>
      </c>
      <c r="D4859" s="10" t="s">
        <v>4741</v>
      </c>
      <c r="E4859" s="10" t="str">
        <f>"644020240516221752184265"</f>
        <v>644020240516221752184265</v>
      </c>
      <c r="F4859" s="9"/>
    </row>
    <row r="4860" s="2" customFormat="1" ht="30" customHeight="1" spans="1:6">
      <c r="A4860" s="9">
        <v>4857</v>
      </c>
      <c r="B4860" s="10" t="s">
        <v>3779</v>
      </c>
      <c r="C4860" s="10" t="s">
        <v>3780</v>
      </c>
      <c r="D4860" s="10" t="s">
        <v>4742</v>
      </c>
      <c r="E4860" s="10" t="str">
        <f>"644020240516215627184205"</f>
        <v>644020240516215627184205</v>
      </c>
      <c r="F4860" s="9"/>
    </row>
    <row r="4861" s="2" customFormat="1" ht="30" customHeight="1" spans="1:6">
      <c r="A4861" s="9">
        <v>4858</v>
      </c>
      <c r="B4861" s="10" t="s">
        <v>3779</v>
      </c>
      <c r="C4861" s="10" t="s">
        <v>3780</v>
      </c>
      <c r="D4861" s="10" t="s">
        <v>4743</v>
      </c>
      <c r="E4861" s="10" t="str">
        <f>"644020240517195538185923"</f>
        <v>644020240517195538185923</v>
      </c>
      <c r="F4861" s="9"/>
    </row>
    <row r="4862" s="2" customFormat="1" ht="30" customHeight="1" spans="1:6">
      <c r="A4862" s="9">
        <v>4859</v>
      </c>
      <c r="B4862" s="10" t="s">
        <v>3779</v>
      </c>
      <c r="C4862" s="10" t="s">
        <v>3780</v>
      </c>
      <c r="D4862" s="10" t="s">
        <v>4744</v>
      </c>
      <c r="E4862" s="10" t="str">
        <f>"644020240517213406186012"</f>
        <v>644020240517213406186012</v>
      </c>
      <c r="F4862" s="9"/>
    </row>
    <row r="4863" s="2" customFormat="1" ht="30" customHeight="1" spans="1:6">
      <c r="A4863" s="9">
        <v>4860</v>
      </c>
      <c r="B4863" s="10" t="s">
        <v>3779</v>
      </c>
      <c r="C4863" s="10" t="s">
        <v>3780</v>
      </c>
      <c r="D4863" s="10" t="s">
        <v>4745</v>
      </c>
      <c r="E4863" s="10" t="str">
        <f>"644020240517212920185999"</f>
        <v>644020240517212920185999</v>
      </c>
      <c r="F4863" s="9"/>
    </row>
    <row r="4864" s="2" customFormat="1" ht="30" customHeight="1" spans="1:6">
      <c r="A4864" s="9">
        <v>4861</v>
      </c>
      <c r="B4864" s="10" t="s">
        <v>3779</v>
      </c>
      <c r="C4864" s="10" t="s">
        <v>3780</v>
      </c>
      <c r="D4864" s="10" t="s">
        <v>4746</v>
      </c>
      <c r="E4864" s="10" t="str">
        <f>"644020240516101642182990"</f>
        <v>644020240516101642182990</v>
      </c>
      <c r="F4864" s="9"/>
    </row>
    <row r="4865" s="2" customFormat="1" ht="30" customHeight="1" spans="1:6">
      <c r="A4865" s="9">
        <v>4862</v>
      </c>
      <c r="B4865" s="10" t="s">
        <v>3779</v>
      </c>
      <c r="C4865" s="10" t="s">
        <v>3780</v>
      </c>
      <c r="D4865" s="10" t="s">
        <v>4747</v>
      </c>
      <c r="E4865" s="10" t="str">
        <f>"644020240517183857185846"</f>
        <v>644020240517183857185846</v>
      </c>
      <c r="F4865" s="9"/>
    </row>
    <row r="4866" s="2" customFormat="1" ht="30" customHeight="1" spans="1:6">
      <c r="A4866" s="9">
        <v>4863</v>
      </c>
      <c r="B4866" s="10" t="s">
        <v>3779</v>
      </c>
      <c r="C4866" s="10" t="s">
        <v>3780</v>
      </c>
      <c r="D4866" s="10" t="s">
        <v>4748</v>
      </c>
      <c r="E4866" s="10" t="str">
        <f>"644020240514151412179245"</f>
        <v>644020240514151412179245</v>
      </c>
      <c r="F4866" s="9"/>
    </row>
    <row r="4867" s="2" customFormat="1" ht="30" customHeight="1" spans="1:6">
      <c r="A4867" s="9">
        <v>4864</v>
      </c>
      <c r="B4867" s="10" t="s">
        <v>3779</v>
      </c>
      <c r="C4867" s="10" t="s">
        <v>3780</v>
      </c>
      <c r="D4867" s="10" t="s">
        <v>4749</v>
      </c>
      <c r="E4867" s="10" t="str">
        <f>"644020240517214052186019"</f>
        <v>644020240517214052186019</v>
      </c>
      <c r="F4867" s="9"/>
    </row>
    <row r="4868" s="2" customFormat="1" ht="30" customHeight="1" spans="1:6">
      <c r="A4868" s="9">
        <v>4865</v>
      </c>
      <c r="B4868" s="10" t="s">
        <v>3779</v>
      </c>
      <c r="C4868" s="10" t="s">
        <v>3780</v>
      </c>
      <c r="D4868" s="10" t="s">
        <v>2169</v>
      </c>
      <c r="E4868" s="10" t="str">
        <f>"644020240517215510186040"</f>
        <v>644020240517215510186040</v>
      </c>
      <c r="F4868" s="9"/>
    </row>
    <row r="4869" s="2" customFormat="1" ht="30" customHeight="1" spans="1:6">
      <c r="A4869" s="9">
        <v>4866</v>
      </c>
      <c r="B4869" s="10" t="s">
        <v>3779</v>
      </c>
      <c r="C4869" s="10" t="s">
        <v>3780</v>
      </c>
      <c r="D4869" s="10" t="s">
        <v>4750</v>
      </c>
      <c r="E4869" s="10" t="str">
        <f>"644020240516095233182929"</f>
        <v>644020240516095233182929</v>
      </c>
      <c r="F4869" s="9"/>
    </row>
    <row r="4870" s="2" customFormat="1" ht="30" customHeight="1" spans="1:6">
      <c r="A4870" s="9">
        <v>4867</v>
      </c>
      <c r="B4870" s="10" t="s">
        <v>3779</v>
      </c>
      <c r="C4870" s="10" t="s">
        <v>3780</v>
      </c>
      <c r="D4870" s="10" t="s">
        <v>4751</v>
      </c>
      <c r="E4870" s="10" t="str">
        <f>"644020240517215512186041"</f>
        <v>644020240517215512186041</v>
      </c>
      <c r="F4870" s="9"/>
    </row>
    <row r="4871" s="2" customFormat="1" ht="30" customHeight="1" spans="1:6">
      <c r="A4871" s="9">
        <v>4868</v>
      </c>
      <c r="B4871" s="10" t="s">
        <v>3779</v>
      </c>
      <c r="C4871" s="10" t="s">
        <v>3780</v>
      </c>
      <c r="D4871" s="10" t="s">
        <v>4752</v>
      </c>
      <c r="E4871" s="10" t="str">
        <f>"644020240516181733183909"</f>
        <v>644020240516181733183909</v>
      </c>
      <c r="F4871" s="9"/>
    </row>
    <row r="4872" s="2" customFormat="1" ht="30" customHeight="1" spans="1:6">
      <c r="A4872" s="9">
        <v>4869</v>
      </c>
      <c r="B4872" s="10" t="s">
        <v>3779</v>
      </c>
      <c r="C4872" s="10" t="s">
        <v>3780</v>
      </c>
      <c r="D4872" s="10" t="s">
        <v>4753</v>
      </c>
      <c r="E4872" s="10" t="str">
        <f>"644020240517223343186064"</f>
        <v>644020240517223343186064</v>
      </c>
      <c r="F4872" s="9"/>
    </row>
    <row r="4873" s="2" customFormat="1" ht="30" customHeight="1" spans="1:6">
      <c r="A4873" s="9">
        <v>4870</v>
      </c>
      <c r="B4873" s="10" t="s">
        <v>3779</v>
      </c>
      <c r="C4873" s="10" t="s">
        <v>3780</v>
      </c>
      <c r="D4873" s="10" t="s">
        <v>4754</v>
      </c>
      <c r="E4873" s="10" t="str">
        <f>"644020240516155235183592"</f>
        <v>644020240516155235183592</v>
      </c>
      <c r="F4873" s="9"/>
    </row>
    <row r="4874" s="2" customFormat="1" ht="30" customHeight="1" spans="1:6">
      <c r="A4874" s="9">
        <v>4871</v>
      </c>
      <c r="B4874" s="10" t="s">
        <v>3779</v>
      </c>
      <c r="C4874" s="10" t="s">
        <v>3780</v>
      </c>
      <c r="D4874" s="10" t="s">
        <v>4755</v>
      </c>
      <c r="E4874" s="10" t="str">
        <f>"644020240517144414185386"</f>
        <v>644020240517144414185386</v>
      </c>
      <c r="F4874" s="9"/>
    </row>
    <row r="4875" s="2" customFormat="1" ht="30" customHeight="1" spans="1:6">
      <c r="A4875" s="9">
        <v>4872</v>
      </c>
      <c r="B4875" s="10" t="s">
        <v>3779</v>
      </c>
      <c r="C4875" s="10" t="s">
        <v>3780</v>
      </c>
      <c r="D4875" s="10" t="s">
        <v>4756</v>
      </c>
      <c r="E4875" s="10" t="str">
        <f>"644020240517223044186056"</f>
        <v>644020240517223044186056</v>
      </c>
      <c r="F4875" s="9"/>
    </row>
    <row r="4876" s="2" customFormat="1" ht="30" customHeight="1" spans="1:6">
      <c r="A4876" s="9">
        <v>4873</v>
      </c>
      <c r="B4876" s="10" t="s">
        <v>3779</v>
      </c>
      <c r="C4876" s="10" t="s">
        <v>3780</v>
      </c>
      <c r="D4876" s="10" t="s">
        <v>4757</v>
      </c>
      <c r="E4876" s="10" t="str">
        <f>"644020240515154108181725"</f>
        <v>644020240515154108181725</v>
      </c>
      <c r="F4876" s="9"/>
    </row>
    <row r="4877" s="2" customFormat="1" ht="30" customHeight="1" spans="1:6">
      <c r="A4877" s="9">
        <v>4874</v>
      </c>
      <c r="B4877" s="10" t="s">
        <v>3779</v>
      </c>
      <c r="C4877" s="10" t="s">
        <v>3780</v>
      </c>
      <c r="D4877" s="10" t="s">
        <v>4758</v>
      </c>
      <c r="E4877" s="10" t="str">
        <f>"644020240517210706185959"</f>
        <v>644020240517210706185959</v>
      </c>
      <c r="F4877" s="9"/>
    </row>
    <row r="4878" s="2" customFormat="1" ht="30" customHeight="1" spans="1:6">
      <c r="A4878" s="9">
        <v>4875</v>
      </c>
      <c r="B4878" s="10" t="s">
        <v>3779</v>
      </c>
      <c r="C4878" s="10" t="s">
        <v>3780</v>
      </c>
      <c r="D4878" s="10" t="s">
        <v>4759</v>
      </c>
      <c r="E4878" s="10" t="str">
        <f>"644020240517232356186090"</f>
        <v>644020240517232356186090</v>
      </c>
      <c r="F4878" s="9"/>
    </row>
    <row r="4879" s="2" customFormat="1" ht="30" customHeight="1" spans="1:6">
      <c r="A4879" s="9">
        <v>4876</v>
      </c>
      <c r="B4879" s="10" t="s">
        <v>3779</v>
      </c>
      <c r="C4879" s="10" t="s">
        <v>3780</v>
      </c>
      <c r="D4879" s="10" t="s">
        <v>4760</v>
      </c>
      <c r="E4879" s="10" t="str">
        <f>"644020240517234305186123"</f>
        <v>644020240517234305186123</v>
      </c>
      <c r="F4879" s="9"/>
    </row>
    <row r="4880" s="2" customFormat="1" ht="30" customHeight="1" spans="1:6">
      <c r="A4880" s="9">
        <v>4877</v>
      </c>
      <c r="B4880" s="10" t="s">
        <v>3779</v>
      </c>
      <c r="C4880" s="10" t="s">
        <v>3780</v>
      </c>
      <c r="D4880" s="10" t="s">
        <v>4761</v>
      </c>
      <c r="E4880" s="10" t="str">
        <f>"644020240515231446182541"</f>
        <v>644020240515231446182541</v>
      </c>
      <c r="F4880" s="9"/>
    </row>
    <row r="4881" s="2" customFormat="1" ht="30" customHeight="1" spans="1:6">
      <c r="A4881" s="9">
        <v>4878</v>
      </c>
      <c r="B4881" s="10" t="s">
        <v>3779</v>
      </c>
      <c r="C4881" s="10" t="s">
        <v>3780</v>
      </c>
      <c r="D4881" s="10" t="s">
        <v>822</v>
      </c>
      <c r="E4881" s="10" t="str">
        <f>"644020240517235315186142"</f>
        <v>644020240517235315186142</v>
      </c>
      <c r="F4881" s="9"/>
    </row>
    <row r="4882" s="2" customFormat="1" ht="30" customHeight="1" spans="1:6">
      <c r="A4882" s="9">
        <v>4879</v>
      </c>
      <c r="B4882" s="10" t="s">
        <v>3779</v>
      </c>
      <c r="C4882" s="10" t="s">
        <v>3780</v>
      </c>
      <c r="D4882" s="10" t="s">
        <v>4762</v>
      </c>
      <c r="E4882" s="10" t="str">
        <f>"644020240514204601180064"</f>
        <v>644020240514204601180064</v>
      </c>
      <c r="F4882" s="9"/>
    </row>
    <row r="4883" s="2" customFormat="1" ht="30" customHeight="1" spans="1:6">
      <c r="A4883" s="9">
        <v>4880</v>
      </c>
      <c r="B4883" s="10" t="s">
        <v>3779</v>
      </c>
      <c r="C4883" s="10" t="s">
        <v>3780</v>
      </c>
      <c r="D4883" s="10" t="s">
        <v>4763</v>
      </c>
      <c r="E4883" s="10" t="str">
        <f>"644020240516232959184414"</f>
        <v>644020240516232959184414</v>
      </c>
      <c r="F4883" s="9"/>
    </row>
    <row r="4884" s="2" customFormat="1" ht="30" customHeight="1" spans="1:6">
      <c r="A4884" s="9">
        <v>4881</v>
      </c>
      <c r="B4884" s="10" t="s">
        <v>3779</v>
      </c>
      <c r="C4884" s="10" t="s">
        <v>3780</v>
      </c>
      <c r="D4884" s="10" t="s">
        <v>4764</v>
      </c>
      <c r="E4884" s="10" t="str">
        <f>"644020240517001711184482"</f>
        <v>644020240517001711184482</v>
      </c>
      <c r="F4884" s="9"/>
    </row>
    <row r="4885" s="2" customFormat="1" ht="30" customHeight="1" spans="1:6">
      <c r="A4885" s="9">
        <v>4882</v>
      </c>
      <c r="B4885" s="10" t="s">
        <v>3779</v>
      </c>
      <c r="C4885" s="10" t="s">
        <v>3780</v>
      </c>
      <c r="D4885" s="10" t="s">
        <v>4765</v>
      </c>
      <c r="E4885" s="10" t="str">
        <f>"644020240518001012186162"</f>
        <v>644020240518001012186162</v>
      </c>
      <c r="F4885" s="9"/>
    </row>
    <row r="4886" s="2" customFormat="1" ht="30" customHeight="1" spans="1:6">
      <c r="A4886" s="9">
        <v>4883</v>
      </c>
      <c r="B4886" s="10" t="s">
        <v>3779</v>
      </c>
      <c r="C4886" s="10" t="s">
        <v>3780</v>
      </c>
      <c r="D4886" s="10" t="s">
        <v>4766</v>
      </c>
      <c r="E4886" s="10" t="str">
        <f>"644020240515233653182587"</f>
        <v>644020240515233653182587</v>
      </c>
      <c r="F4886" s="9"/>
    </row>
    <row r="4887" s="2" customFormat="1" ht="30" customHeight="1" spans="1:6">
      <c r="A4887" s="9">
        <v>4884</v>
      </c>
      <c r="B4887" s="10" t="s">
        <v>3779</v>
      </c>
      <c r="C4887" s="10" t="s">
        <v>3780</v>
      </c>
      <c r="D4887" s="10" t="s">
        <v>4767</v>
      </c>
      <c r="E4887" s="10" t="str">
        <f>"644020240517235543186148"</f>
        <v>644020240517235543186148</v>
      </c>
      <c r="F4887" s="9"/>
    </row>
    <row r="4888" s="2" customFormat="1" ht="30" customHeight="1" spans="1:6">
      <c r="A4888" s="9">
        <v>4885</v>
      </c>
      <c r="B4888" s="10" t="s">
        <v>3779</v>
      </c>
      <c r="C4888" s="10" t="s">
        <v>3780</v>
      </c>
      <c r="D4888" s="10" t="s">
        <v>4768</v>
      </c>
      <c r="E4888" s="10" t="str">
        <f>"644020240517142157185352"</f>
        <v>644020240517142157185352</v>
      </c>
      <c r="F4888" s="9"/>
    </row>
    <row r="4889" s="2" customFormat="1" ht="30" customHeight="1" spans="1:6">
      <c r="A4889" s="9">
        <v>4886</v>
      </c>
      <c r="B4889" s="10" t="s">
        <v>3779</v>
      </c>
      <c r="C4889" s="10" t="s">
        <v>3780</v>
      </c>
      <c r="D4889" s="10" t="s">
        <v>4769</v>
      </c>
      <c r="E4889" s="10" t="str">
        <f>"644020240517234705186135"</f>
        <v>644020240517234705186135</v>
      </c>
      <c r="F4889" s="9"/>
    </row>
    <row r="4890" s="2" customFormat="1" ht="30" customHeight="1" spans="1:6">
      <c r="A4890" s="9">
        <v>4887</v>
      </c>
      <c r="B4890" s="10" t="s">
        <v>3779</v>
      </c>
      <c r="C4890" s="10" t="s">
        <v>3780</v>
      </c>
      <c r="D4890" s="10" t="s">
        <v>4770</v>
      </c>
      <c r="E4890" s="10" t="str">
        <f>"644020240514004813177704"</f>
        <v>644020240514004813177704</v>
      </c>
      <c r="F4890" s="9"/>
    </row>
    <row r="4891" s="2" customFormat="1" ht="30" customHeight="1" spans="1:6">
      <c r="A4891" s="9">
        <v>4888</v>
      </c>
      <c r="B4891" s="10" t="s">
        <v>3779</v>
      </c>
      <c r="C4891" s="10" t="s">
        <v>3780</v>
      </c>
      <c r="D4891" s="10" t="s">
        <v>4771</v>
      </c>
      <c r="E4891" s="10" t="str">
        <f>"644020240517235446186145"</f>
        <v>644020240517235446186145</v>
      </c>
      <c r="F4891" s="9"/>
    </row>
    <row r="4892" s="2" customFormat="1" ht="30" customHeight="1" spans="1:6">
      <c r="A4892" s="9">
        <v>4889</v>
      </c>
      <c r="B4892" s="10" t="s">
        <v>3779</v>
      </c>
      <c r="C4892" s="10" t="s">
        <v>3780</v>
      </c>
      <c r="D4892" s="10" t="s">
        <v>4772</v>
      </c>
      <c r="E4892" s="10" t="str">
        <f>"644020240518005043186218"</f>
        <v>644020240518005043186218</v>
      </c>
      <c r="F4892" s="9"/>
    </row>
    <row r="4893" s="2" customFormat="1" ht="30" customHeight="1" spans="1:6">
      <c r="A4893" s="9">
        <v>4890</v>
      </c>
      <c r="B4893" s="10" t="s">
        <v>3779</v>
      </c>
      <c r="C4893" s="10" t="s">
        <v>3780</v>
      </c>
      <c r="D4893" s="10" t="s">
        <v>4773</v>
      </c>
      <c r="E4893" s="10" t="str">
        <f>"644020240513100137173128"</f>
        <v>644020240513100137173128</v>
      </c>
      <c r="F4893" s="9"/>
    </row>
    <row r="4894" s="2" customFormat="1" ht="30" customHeight="1" spans="1:6">
      <c r="A4894" s="9">
        <v>4891</v>
      </c>
      <c r="B4894" s="10" t="s">
        <v>3779</v>
      </c>
      <c r="C4894" s="10" t="s">
        <v>3780</v>
      </c>
      <c r="D4894" s="10" t="s">
        <v>4774</v>
      </c>
      <c r="E4894" s="10" t="str">
        <f>"644020240518005527186224"</f>
        <v>644020240518005527186224</v>
      </c>
      <c r="F4894" s="9"/>
    </row>
    <row r="4895" s="2" customFormat="1" ht="30" customHeight="1" spans="1:6">
      <c r="A4895" s="9">
        <v>4892</v>
      </c>
      <c r="B4895" s="10" t="s">
        <v>3779</v>
      </c>
      <c r="C4895" s="10" t="s">
        <v>3780</v>
      </c>
      <c r="D4895" s="10" t="s">
        <v>1792</v>
      </c>
      <c r="E4895" s="10" t="str">
        <f>"644020240518015118186265"</f>
        <v>644020240518015118186265</v>
      </c>
      <c r="F4895" s="9"/>
    </row>
    <row r="4896" s="2" customFormat="1" ht="30" customHeight="1" spans="1:6">
      <c r="A4896" s="9">
        <v>4893</v>
      </c>
      <c r="B4896" s="10" t="s">
        <v>3779</v>
      </c>
      <c r="C4896" s="10" t="s">
        <v>3780</v>
      </c>
      <c r="D4896" s="10" t="s">
        <v>4775</v>
      </c>
      <c r="E4896" s="10" t="str">
        <f>"644020240517210807185963"</f>
        <v>644020240517210807185963</v>
      </c>
      <c r="F4896" s="9"/>
    </row>
    <row r="4897" s="2" customFormat="1" ht="30" customHeight="1" spans="1:6">
      <c r="A4897" s="9">
        <v>4894</v>
      </c>
      <c r="B4897" s="10" t="s">
        <v>3779</v>
      </c>
      <c r="C4897" s="10" t="s">
        <v>3780</v>
      </c>
      <c r="D4897" s="10" t="s">
        <v>4776</v>
      </c>
      <c r="E4897" s="10" t="str">
        <f>"644020240518021841186275"</f>
        <v>644020240518021841186275</v>
      </c>
      <c r="F4897" s="9"/>
    </row>
    <row r="4898" s="2" customFormat="1" ht="30" customHeight="1" spans="1:6">
      <c r="A4898" s="9">
        <v>4895</v>
      </c>
      <c r="B4898" s="10" t="s">
        <v>3779</v>
      </c>
      <c r="C4898" s="10" t="s">
        <v>3780</v>
      </c>
      <c r="D4898" s="10" t="s">
        <v>4777</v>
      </c>
      <c r="E4898" s="10" t="str">
        <f>"644020240518053038186312"</f>
        <v>644020240518053038186312</v>
      </c>
      <c r="F4898" s="9"/>
    </row>
    <row r="4899" s="2" customFormat="1" ht="30" customHeight="1" spans="1:6">
      <c r="A4899" s="9">
        <v>4896</v>
      </c>
      <c r="B4899" s="10" t="s">
        <v>3779</v>
      </c>
      <c r="C4899" s="10" t="s">
        <v>3780</v>
      </c>
      <c r="D4899" s="10" t="s">
        <v>4778</v>
      </c>
      <c r="E4899" s="10" t="str">
        <f>"644020240518065902186327"</f>
        <v>644020240518065902186327</v>
      </c>
      <c r="F4899" s="9"/>
    </row>
    <row r="4900" s="2" customFormat="1" ht="30" customHeight="1" spans="1:6">
      <c r="A4900" s="9">
        <v>4897</v>
      </c>
      <c r="B4900" s="10" t="s">
        <v>3779</v>
      </c>
      <c r="C4900" s="10" t="s">
        <v>3780</v>
      </c>
      <c r="D4900" s="10" t="s">
        <v>4779</v>
      </c>
      <c r="E4900" s="10" t="str">
        <f>"644020240517155909185588"</f>
        <v>644020240517155909185588</v>
      </c>
      <c r="F4900" s="9"/>
    </row>
    <row r="4901" s="2" customFormat="1" ht="30" customHeight="1" spans="1:6">
      <c r="A4901" s="9">
        <v>4898</v>
      </c>
      <c r="B4901" s="10" t="s">
        <v>3779</v>
      </c>
      <c r="C4901" s="10" t="s">
        <v>3780</v>
      </c>
      <c r="D4901" s="10" t="s">
        <v>4780</v>
      </c>
      <c r="E4901" s="10" t="str">
        <f>"644020240518071018186331"</f>
        <v>644020240518071018186331</v>
      </c>
      <c r="F4901" s="9"/>
    </row>
    <row r="4902" s="2" customFormat="1" ht="30" customHeight="1" spans="1:6">
      <c r="A4902" s="9">
        <v>4899</v>
      </c>
      <c r="B4902" s="10" t="s">
        <v>3779</v>
      </c>
      <c r="C4902" s="10" t="s">
        <v>3780</v>
      </c>
      <c r="D4902" s="10" t="s">
        <v>2941</v>
      </c>
      <c r="E4902" s="10" t="str">
        <f>"644020240518072248186337"</f>
        <v>644020240518072248186337</v>
      </c>
      <c r="F4902" s="9"/>
    </row>
    <row r="4903" s="2" customFormat="1" ht="30" customHeight="1" spans="1:6">
      <c r="A4903" s="9">
        <v>4900</v>
      </c>
      <c r="B4903" s="10" t="s">
        <v>3779</v>
      </c>
      <c r="C4903" s="10" t="s">
        <v>3780</v>
      </c>
      <c r="D4903" s="10" t="s">
        <v>4781</v>
      </c>
      <c r="E4903" s="10" t="str">
        <f>"644020240517131737185241"</f>
        <v>644020240517131737185241</v>
      </c>
      <c r="F4903" s="9"/>
    </row>
    <row r="4904" s="2" customFormat="1" ht="30" customHeight="1" spans="1:6">
      <c r="A4904" s="9">
        <v>4901</v>
      </c>
      <c r="B4904" s="10" t="s">
        <v>3779</v>
      </c>
      <c r="C4904" s="10" t="s">
        <v>3780</v>
      </c>
      <c r="D4904" s="10" t="s">
        <v>4782</v>
      </c>
      <c r="E4904" s="10" t="str">
        <f>"644020240518052935186311"</f>
        <v>644020240518052935186311</v>
      </c>
      <c r="F4904" s="9"/>
    </row>
    <row r="4905" s="2" customFormat="1" ht="30" customHeight="1" spans="1:6">
      <c r="A4905" s="9">
        <v>4902</v>
      </c>
      <c r="B4905" s="10" t="s">
        <v>3779</v>
      </c>
      <c r="C4905" s="10" t="s">
        <v>3780</v>
      </c>
      <c r="D4905" s="10" t="s">
        <v>4783</v>
      </c>
      <c r="E4905" s="10" t="str">
        <f>"644020240518030458186291"</f>
        <v>644020240518030458186291</v>
      </c>
      <c r="F4905" s="9"/>
    </row>
    <row r="4906" s="2" customFormat="1" ht="30" customHeight="1" spans="1:6">
      <c r="A4906" s="9">
        <v>4903</v>
      </c>
      <c r="B4906" s="10" t="s">
        <v>3779</v>
      </c>
      <c r="C4906" s="10" t="s">
        <v>3780</v>
      </c>
      <c r="D4906" s="10" t="s">
        <v>4784</v>
      </c>
      <c r="E4906" s="10" t="str">
        <f>"644020240516234827184439"</f>
        <v>644020240516234827184439</v>
      </c>
      <c r="F4906" s="9"/>
    </row>
    <row r="4907" s="2" customFormat="1" ht="30" customHeight="1" spans="1:6">
      <c r="A4907" s="9">
        <v>4904</v>
      </c>
      <c r="B4907" s="10" t="s">
        <v>3779</v>
      </c>
      <c r="C4907" s="10" t="s">
        <v>3780</v>
      </c>
      <c r="D4907" s="10" t="s">
        <v>4785</v>
      </c>
      <c r="E4907" s="10" t="str">
        <f>"644020240518080101186365"</f>
        <v>644020240518080101186365</v>
      </c>
      <c r="F4907" s="9"/>
    </row>
    <row r="4908" s="2" customFormat="1" ht="30" customHeight="1" spans="1:6">
      <c r="A4908" s="9">
        <v>4905</v>
      </c>
      <c r="B4908" s="10" t="s">
        <v>3779</v>
      </c>
      <c r="C4908" s="10" t="s">
        <v>3780</v>
      </c>
      <c r="D4908" s="10" t="s">
        <v>4786</v>
      </c>
      <c r="E4908" s="10" t="str">
        <f>"644020240518081649186383"</f>
        <v>644020240518081649186383</v>
      </c>
      <c r="F4908" s="9"/>
    </row>
    <row r="4909" s="2" customFormat="1" ht="30" customHeight="1" spans="1:6">
      <c r="A4909" s="9">
        <v>4906</v>
      </c>
      <c r="B4909" s="10" t="s">
        <v>3779</v>
      </c>
      <c r="C4909" s="10" t="s">
        <v>3780</v>
      </c>
      <c r="D4909" s="10" t="s">
        <v>4787</v>
      </c>
      <c r="E4909" s="10" t="str">
        <f>"644020240518074917186356"</f>
        <v>644020240518074917186356</v>
      </c>
      <c r="F4909" s="9"/>
    </row>
    <row r="4910" s="2" customFormat="1" ht="30" customHeight="1" spans="1:6">
      <c r="A4910" s="9">
        <v>4907</v>
      </c>
      <c r="B4910" s="10" t="s">
        <v>3779</v>
      </c>
      <c r="C4910" s="10" t="s">
        <v>3780</v>
      </c>
      <c r="D4910" s="10" t="s">
        <v>4788</v>
      </c>
      <c r="E4910" s="10" t="str">
        <f>"644020240518075432186360"</f>
        <v>644020240518075432186360</v>
      </c>
      <c r="F4910" s="9"/>
    </row>
    <row r="4911" s="2" customFormat="1" ht="30" customHeight="1" spans="1:6">
      <c r="A4911" s="9">
        <v>4908</v>
      </c>
      <c r="B4911" s="10" t="s">
        <v>3779</v>
      </c>
      <c r="C4911" s="10" t="s">
        <v>3780</v>
      </c>
      <c r="D4911" s="10" t="s">
        <v>2048</v>
      </c>
      <c r="E4911" s="10" t="str">
        <f>"644020240518081936186387"</f>
        <v>644020240518081936186387</v>
      </c>
      <c r="F4911" s="9"/>
    </row>
    <row r="4912" s="2" customFormat="1" ht="30" customHeight="1" spans="1:6">
      <c r="A4912" s="9">
        <v>4909</v>
      </c>
      <c r="B4912" s="10" t="s">
        <v>3779</v>
      </c>
      <c r="C4912" s="10" t="s">
        <v>3780</v>
      </c>
      <c r="D4912" s="10" t="s">
        <v>4789</v>
      </c>
      <c r="E4912" s="10" t="str">
        <f>"644020240518081020186374"</f>
        <v>644020240518081020186374</v>
      </c>
      <c r="F4912" s="9"/>
    </row>
    <row r="4913" s="2" customFormat="1" ht="30" customHeight="1" spans="1:6">
      <c r="A4913" s="9">
        <v>4910</v>
      </c>
      <c r="B4913" s="10" t="s">
        <v>3779</v>
      </c>
      <c r="C4913" s="10" t="s">
        <v>3780</v>
      </c>
      <c r="D4913" s="10" t="s">
        <v>4790</v>
      </c>
      <c r="E4913" s="10" t="str">
        <f>"644020240514095610178248"</f>
        <v>644020240514095610178248</v>
      </c>
      <c r="F4913" s="9"/>
    </row>
    <row r="4914" s="2" customFormat="1" ht="30" customHeight="1" spans="1:6">
      <c r="A4914" s="9">
        <v>4911</v>
      </c>
      <c r="B4914" s="10" t="s">
        <v>3779</v>
      </c>
      <c r="C4914" s="10" t="s">
        <v>3780</v>
      </c>
      <c r="D4914" s="10" t="s">
        <v>4791</v>
      </c>
      <c r="E4914" s="10" t="str">
        <f>"644020240518004058186206"</f>
        <v>644020240518004058186206</v>
      </c>
      <c r="F4914" s="9"/>
    </row>
    <row r="4915" s="2" customFormat="1" ht="30" customHeight="1" spans="1:6">
      <c r="A4915" s="9">
        <v>4912</v>
      </c>
      <c r="B4915" s="10" t="s">
        <v>3779</v>
      </c>
      <c r="C4915" s="10" t="s">
        <v>3780</v>
      </c>
      <c r="D4915" s="10" t="s">
        <v>4792</v>
      </c>
      <c r="E4915" s="10" t="str">
        <f>"644020240518012024186242"</f>
        <v>644020240518012024186242</v>
      </c>
      <c r="F4915" s="9"/>
    </row>
    <row r="4916" s="2" customFormat="1" ht="30" customHeight="1" spans="1:6">
      <c r="A4916" s="9">
        <v>4913</v>
      </c>
      <c r="B4916" s="10" t="s">
        <v>3779</v>
      </c>
      <c r="C4916" s="10" t="s">
        <v>3780</v>
      </c>
      <c r="D4916" s="10" t="s">
        <v>4793</v>
      </c>
      <c r="E4916" s="10" t="str">
        <f>"644020240518085250186431"</f>
        <v>644020240518085250186431</v>
      </c>
      <c r="F4916" s="9"/>
    </row>
    <row r="4917" s="2" customFormat="1" ht="30" customHeight="1" spans="1:6">
      <c r="A4917" s="9">
        <v>4914</v>
      </c>
      <c r="B4917" s="10" t="s">
        <v>3779</v>
      </c>
      <c r="C4917" s="10" t="s">
        <v>3780</v>
      </c>
      <c r="D4917" s="10" t="s">
        <v>4794</v>
      </c>
      <c r="E4917" s="10" t="str">
        <f>"644020240517065234184567"</f>
        <v>644020240517065234184567</v>
      </c>
      <c r="F4917" s="9"/>
    </row>
    <row r="4918" s="2" customFormat="1" ht="30" customHeight="1" spans="1:6">
      <c r="A4918" s="9">
        <v>4915</v>
      </c>
      <c r="B4918" s="10" t="s">
        <v>3779</v>
      </c>
      <c r="C4918" s="10" t="s">
        <v>3780</v>
      </c>
      <c r="D4918" s="10" t="s">
        <v>4795</v>
      </c>
      <c r="E4918" s="10" t="str">
        <f>"644020240518085420186435"</f>
        <v>644020240518085420186435</v>
      </c>
      <c r="F4918" s="9"/>
    </row>
    <row r="4919" s="2" customFormat="1" ht="30" customHeight="1" spans="1:6">
      <c r="A4919" s="9">
        <v>4916</v>
      </c>
      <c r="B4919" s="10" t="s">
        <v>3779</v>
      </c>
      <c r="C4919" s="10" t="s">
        <v>3780</v>
      </c>
      <c r="D4919" s="10" t="s">
        <v>4796</v>
      </c>
      <c r="E4919" s="10" t="str">
        <f>"644020240518090058186443"</f>
        <v>644020240518090058186443</v>
      </c>
      <c r="F4919" s="9"/>
    </row>
    <row r="4920" s="2" customFormat="1" ht="30" customHeight="1" spans="1:6">
      <c r="A4920" s="9">
        <v>4917</v>
      </c>
      <c r="B4920" s="10" t="s">
        <v>3779</v>
      </c>
      <c r="C4920" s="10" t="s">
        <v>3780</v>
      </c>
      <c r="D4920" s="10" t="s">
        <v>4797</v>
      </c>
      <c r="E4920" s="10" t="str">
        <f>"644020240518090017186440"</f>
        <v>644020240518090017186440</v>
      </c>
      <c r="F4920" s="9"/>
    </row>
    <row r="4921" s="2" customFormat="1" ht="30" customHeight="1" spans="1:6">
      <c r="A4921" s="9">
        <v>4918</v>
      </c>
      <c r="B4921" s="10" t="s">
        <v>3779</v>
      </c>
      <c r="C4921" s="10" t="s">
        <v>3780</v>
      </c>
      <c r="D4921" s="10" t="s">
        <v>4798</v>
      </c>
      <c r="E4921" s="10" t="str">
        <f>"644020240518091601186475"</f>
        <v>644020240518091601186475</v>
      </c>
      <c r="F4921" s="9"/>
    </row>
    <row r="4922" s="2" customFormat="1" ht="30" customHeight="1" spans="1:6">
      <c r="A4922" s="9">
        <v>4919</v>
      </c>
      <c r="B4922" s="10" t="s">
        <v>3779</v>
      </c>
      <c r="C4922" s="10" t="s">
        <v>3780</v>
      </c>
      <c r="D4922" s="10" t="s">
        <v>4799</v>
      </c>
      <c r="E4922" s="10" t="str">
        <f>"644020240518092042186482"</f>
        <v>644020240518092042186482</v>
      </c>
      <c r="F4922" s="9"/>
    </row>
    <row r="4923" s="2" customFormat="1" ht="30" customHeight="1" spans="1:6">
      <c r="A4923" s="9">
        <v>4920</v>
      </c>
      <c r="B4923" s="10" t="s">
        <v>3779</v>
      </c>
      <c r="C4923" s="10" t="s">
        <v>3780</v>
      </c>
      <c r="D4923" s="10" t="s">
        <v>4800</v>
      </c>
      <c r="E4923" s="10" t="str">
        <f>"644020240518075542186361"</f>
        <v>644020240518075542186361</v>
      </c>
      <c r="F4923" s="9"/>
    </row>
    <row r="4924" s="2" customFormat="1" ht="30" customHeight="1" spans="1:6">
      <c r="A4924" s="9">
        <v>4921</v>
      </c>
      <c r="B4924" s="10" t="s">
        <v>3779</v>
      </c>
      <c r="C4924" s="10" t="s">
        <v>3780</v>
      </c>
      <c r="D4924" s="10" t="s">
        <v>4801</v>
      </c>
      <c r="E4924" s="10" t="str">
        <f>"644020240517233613186113"</f>
        <v>644020240517233613186113</v>
      </c>
      <c r="F4924" s="9"/>
    </row>
    <row r="4925" s="2" customFormat="1" ht="30" customHeight="1" spans="1:6">
      <c r="A4925" s="9">
        <v>4922</v>
      </c>
      <c r="B4925" s="10" t="s">
        <v>3779</v>
      </c>
      <c r="C4925" s="10" t="s">
        <v>3780</v>
      </c>
      <c r="D4925" s="10" t="s">
        <v>4802</v>
      </c>
      <c r="E4925" s="10" t="str">
        <f>"644020240516221607184258"</f>
        <v>644020240516221607184258</v>
      </c>
      <c r="F4925" s="9"/>
    </row>
    <row r="4926" s="2" customFormat="1" ht="30" customHeight="1" spans="1:6">
      <c r="A4926" s="9">
        <v>4923</v>
      </c>
      <c r="B4926" s="10" t="s">
        <v>3779</v>
      </c>
      <c r="C4926" s="10" t="s">
        <v>3780</v>
      </c>
      <c r="D4926" s="10" t="s">
        <v>4803</v>
      </c>
      <c r="E4926" s="10" t="str">
        <f>"644020240513224342177417"</f>
        <v>644020240513224342177417</v>
      </c>
      <c r="F4926" s="9"/>
    </row>
    <row r="4927" s="2" customFormat="1" ht="30" customHeight="1" spans="1:6">
      <c r="A4927" s="9">
        <v>4924</v>
      </c>
      <c r="B4927" s="10" t="s">
        <v>3779</v>
      </c>
      <c r="C4927" s="10" t="s">
        <v>3780</v>
      </c>
      <c r="D4927" s="10" t="s">
        <v>4804</v>
      </c>
      <c r="E4927" s="10" t="str">
        <f>"644020240517223221186061"</f>
        <v>644020240517223221186061</v>
      </c>
      <c r="F4927" s="9"/>
    </row>
    <row r="4928" s="2" customFormat="1" ht="30" customHeight="1" spans="1:6">
      <c r="A4928" s="9">
        <v>4925</v>
      </c>
      <c r="B4928" s="10" t="s">
        <v>3779</v>
      </c>
      <c r="C4928" s="10" t="s">
        <v>3780</v>
      </c>
      <c r="D4928" s="10" t="s">
        <v>4805</v>
      </c>
      <c r="E4928" s="10" t="str">
        <f>"644020240518093644186517"</f>
        <v>644020240518093644186517</v>
      </c>
      <c r="F4928" s="9"/>
    </row>
    <row r="4929" s="2" customFormat="1" ht="30" customHeight="1" spans="1:6">
      <c r="A4929" s="9">
        <v>4926</v>
      </c>
      <c r="B4929" s="10" t="s">
        <v>3779</v>
      </c>
      <c r="C4929" s="10" t="s">
        <v>3780</v>
      </c>
      <c r="D4929" s="10" t="s">
        <v>4806</v>
      </c>
      <c r="E4929" s="10" t="str">
        <f>"644020240518010300186232"</f>
        <v>644020240518010300186232</v>
      </c>
      <c r="F4929" s="9"/>
    </row>
    <row r="4930" s="2" customFormat="1" ht="30" customHeight="1" spans="1:6">
      <c r="A4930" s="9">
        <v>4927</v>
      </c>
      <c r="B4930" s="10" t="s">
        <v>3779</v>
      </c>
      <c r="C4930" s="10" t="s">
        <v>3780</v>
      </c>
      <c r="D4930" s="10" t="s">
        <v>4807</v>
      </c>
      <c r="E4930" s="10" t="str">
        <f>"644020240518093409186512"</f>
        <v>644020240518093409186512</v>
      </c>
      <c r="F4930" s="9"/>
    </row>
    <row r="4931" s="2" customFormat="1" ht="30" customHeight="1" spans="1:6">
      <c r="A4931" s="9">
        <v>4928</v>
      </c>
      <c r="B4931" s="10" t="s">
        <v>3779</v>
      </c>
      <c r="C4931" s="10" t="s">
        <v>3780</v>
      </c>
      <c r="D4931" s="10" t="s">
        <v>4808</v>
      </c>
      <c r="E4931" s="10" t="str">
        <f>"644020240518092516186493"</f>
        <v>644020240518092516186493</v>
      </c>
      <c r="F4931" s="9"/>
    </row>
    <row r="4932" s="2" customFormat="1" ht="30" customHeight="1" spans="1:6">
      <c r="A4932" s="9">
        <v>4929</v>
      </c>
      <c r="B4932" s="10" t="s">
        <v>3779</v>
      </c>
      <c r="C4932" s="10" t="s">
        <v>3780</v>
      </c>
      <c r="D4932" s="10" t="s">
        <v>4809</v>
      </c>
      <c r="E4932" s="10" t="str">
        <f>"644020240517232356186091"</f>
        <v>644020240517232356186091</v>
      </c>
      <c r="F4932" s="9"/>
    </row>
    <row r="4933" s="2" customFormat="1" ht="30" customHeight="1" spans="1:6">
      <c r="A4933" s="9">
        <v>4930</v>
      </c>
      <c r="B4933" s="10" t="s">
        <v>3779</v>
      </c>
      <c r="C4933" s="10" t="s">
        <v>3780</v>
      </c>
      <c r="D4933" s="10" t="s">
        <v>4810</v>
      </c>
      <c r="E4933" s="10" t="str">
        <f>"644020240518094526186537"</f>
        <v>644020240518094526186537</v>
      </c>
      <c r="F4933" s="9"/>
    </row>
    <row r="4934" s="2" customFormat="1" ht="30" customHeight="1" spans="1:6">
      <c r="A4934" s="9">
        <v>4931</v>
      </c>
      <c r="B4934" s="10" t="s">
        <v>3779</v>
      </c>
      <c r="C4934" s="10" t="s">
        <v>3780</v>
      </c>
      <c r="D4934" s="10" t="s">
        <v>4811</v>
      </c>
      <c r="E4934" s="10" t="str">
        <f>"644020240518095046186553"</f>
        <v>644020240518095046186553</v>
      </c>
      <c r="F4934" s="9"/>
    </row>
    <row r="4935" s="2" customFormat="1" ht="30" customHeight="1" spans="1:6">
      <c r="A4935" s="9">
        <v>4932</v>
      </c>
      <c r="B4935" s="10" t="s">
        <v>3779</v>
      </c>
      <c r="C4935" s="10" t="s">
        <v>3780</v>
      </c>
      <c r="D4935" s="10" t="s">
        <v>4812</v>
      </c>
      <c r="E4935" s="10" t="str">
        <f>"644020240518100154186577"</f>
        <v>644020240518100154186577</v>
      </c>
      <c r="F4935" s="9"/>
    </row>
    <row r="4936" s="2" customFormat="1" ht="30" customHeight="1" spans="1:6">
      <c r="A4936" s="9">
        <v>4933</v>
      </c>
      <c r="B4936" s="10" t="s">
        <v>3779</v>
      </c>
      <c r="C4936" s="10" t="s">
        <v>3780</v>
      </c>
      <c r="D4936" s="10" t="s">
        <v>4813</v>
      </c>
      <c r="E4936" s="10" t="str">
        <f>"644020240518074001186348"</f>
        <v>644020240518074001186348</v>
      </c>
      <c r="F4936" s="9"/>
    </row>
    <row r="4937" s="2" customFormat="1" ht="30" customHeight="1" spans="1:6">
      <c r="A4937" s="9">
        <v>4934</v>
      </c>
      <c r="B4937" s="10" t="s">
        <v>3779</v>
      </c>
      <c r="C4937" s="10" t="s">
        <v>3780</v>
      </c>
      <c r="D4937" s="10" t="s">
        <v>4814</v>
      </c>
      <c r="E4937" s="10" t="str">
        <f>"644020240518101549186607"</f>
        <v>644020240518101549186607</v>
      </c>
      <c r="F4937" s="9"/>
    </row>
    <row r="4938" s="2" customFormat="1" ht="30" customHeight="1" spans="1:6">
      <c r="A4938" s="9">
        <v>4935</v>
      </c>
      <c r="B4938" s="10" t="s">
        <v>3779</v>
      </c>
      <c r="C4938" s="10" t="s">
        <v>3780</v>
      </c>
      <c r="D4938" s="10" t="s">
        <v>4792</v>
      </c>
      <c r="E4938" s="10" t="str">
        <f>"644020240518084509186423"</f>
        <v>644020240518084509186423</v>
      </c>
      <c r="F4938" s="9"/>
    </row>
    <row r="4939" s="2" customFormat="1" ht="30" customHeight="1" spans="1:6">
      <c r="A4939" s="9">
        <v>4936</v>
      </c>
      <c r="B4939" s="10" t="s">
        <v>3779</v>
      </c>
      <c r="C4939" s="10" t="s">
        <v>3780</v>
      </c>
      <c r="D4939" s="10" t="s">
        <v>4815</v>
      </c>
      <c r="E4939" s="10" t="str">
        <f>"644020240517233817186119"</f>
        <v>644020240517233817186119</v>
      </c>
      <c r="F4939" s="9"/>
    </row>
    <row r="4940" s="2" customFormat="1" ht="30" customHeight="1" spans="1:6">
      <c r="A4940" s="9">
        <v>4937</v>
      </c>
      <c r="B4940" s="10" t="s">
        <v>3779</v>
      </c>
      <c r="C4940" s="10" t="s">
        <v>3780</v>
      </c>
      <c r="D4940" s="10" t="s">
        <v>4816</v>
      </c>
      <c r="E4940" s="10" t="str">
        <f>"644020240518004102186207"</f>
        <v>644020240518004102186207</v>
      </c>
      <c r="F4940" s="9"/>
    </row>
    <row r="4941" s="2" customFormat="1" ht="30" customHeight="1" spans="1:6">
      <c r="A4941" s="9">
        <v>4938</v>
      </c>
      <c r="B4941" s="10" t="s">
        <v>3779</v>
      </c>
      <c r="C4941" s="10" t="s">
        <v>3780</v>
      </c>
      <c r="D4941" s="10" t="s">
        <v>4817</v>
      </c>
      <c r="E4941" s="10" t="str">
        <f>"644020240518101553186608"</f>
        <v>644020240518101553186608</v>
      </c>
      <c r="F4941" s="9"/>
    </row>
    <row r="4942" s="2" customFormat="1" ht="30" customHeight="1" spans="1:6">
      <c r="A4942" s="9">
        <v>4939</v>
      </c>
      <c r="B4942" s="10" t="s">
        <v>3779</v>
      </c>
      <c r="C4942" s="10" t="s">
        <v>3780</v>
      </c>
      <c r="D4942" s="10" t="s">
        <v>4818</v>
      </c>
      <c r="E4942" s="10" t="str">
        <f>"644020240518094117186525"</f>
        <v>644020240518094117186525</v>
      </c>
      <c r="F4942" s="9"/>
    </row>
    <row r="4943" s="2" customFormat="1" ht="30" customHeight="1" spans="1:6">
      <c r="A4943" s="9">
        <v>4940</v>
      </c>
      <c r="B4943" s="10" t="s">
        <v>3779</v>
      </c>
      <c r="C4943" s="10" t="s">
        <v>3780</v>
      </c>
      <c r="D4943" s="10" t="s">
        <v>4819</v>
      </c>
      <c r="E4943" s="10" t="str">
        <f>"644020240518103511186662"</f>
        <v>644020240518103511186662</v>
      </c>
      <c r="F4943" s="9"/>
    </row>
    <row r="4944" s="2" customFormat="1" ht="30" customHeight="1" spans="1:6">
      <c r="A4944" s="9">
        <v>4941</v>
      </c>
      <c r="B4944" s="10" t="s">
        <v>3779</v>
      </c>
      <c r="C4944" s="10" t="s">
        <v>3780</v>
      </c>
      <c r="D4944" s="10" t="s">
        <v>4820</v>
      </c>
      <c r="E4944" s="10" t="str">
        <f>"644020240518094731186543"</f>
        <v>644020240518094731186543</v>
      </c>
      <c r="F4944" s="9"/>
    </row>
    <row r="4945" s="2" customFormat="1" ht="30" customHeight="1" spans="1:6">
      <c r="A4945" s="9">
        <v>4942</v>
      </c>
      <c r="B4945" s="10" t="s">
        <v>3779</v>
      </c>
      <c r="C4945" s="10" t="s">
        <v>3780</v>
      </c>
      <c r="D4945" s="10" t="s">
        <v>4821</v>
      </c>
      <c r="E4945" s="10" t="str">
        <f>"644020240517232828186101"</f>
        <v>644020240517232828186101</v>
      </c>
      <c r="F4945" s="9"/>
    </row>
    <row r="4946" s="2" customFormat="1" ht="30" customHeight="1" spans="1:6">
      <c r="A4946" s="9">
        <v>4943</v>
      </c>
      <c r="B4946" s="10" t="s">
        <v>3779</v>
      </c>
      <c r="C4946" s="10" t="s">
        <v>3780</v>
      </c>
      <c r="D4946" s="10" t="s">
        <v>4822</v>
      </c>
      <c r="E4946" s="10" t="str">
        <f>"644020240517232947186103"</f>
        <v>644020240517232947186103</v>
      </c>
      <c r="F4946" s="9"/>
    </row>
    <row r="4947" s="2" customFormat="1" ht="30" customHeight="1" spans="1:6">
      <c r="A4947" s="9">
        <v>4944</v>
      </c>
      <c r="B4947" s="10" t="s">
        <v>3779</v>
      </c>
      <c r="C4947" s="10" t="s">
        <v>3780</v>
      </c>
      <c r="D4947" s="10" t="s">
        <v>4823</v>
      </c>
      <c r="E4947" s="10" t="str">
        <f>"644020240518103828186670"</f>
        <v>644020240518103828186670</v>
      </c>
      <c r="F4947" s="9"/>
    </row>
    <row r="4948" s="2" customFormat="1" ht="30" customHeight="1" spans="1:6">
      <c r="A4948" s="9">
        <v>4945</v>
      </c>
      <c r="B4948" s="10" t="s">
        <v>3779</v>
      </c>
      <c r="C4948" s="10" t="s">
        <v>3780</v>
      </c>
      <c r="D4948" s="10" t="s">
        <v>4824</v>
      </c>
      <c r="E4948" s="10" t="str">
        <f>"644020240518103852186673"</f>
        <v>644020240518103852186673</v>
      </c>
      <c r="F4948" s="9"/>
    </row>
    <row r="4949" s="2" customFormat="1" ht="30" customHeight="1" spans="1:6">
      <c r="A4949" s="9">
        <v>4946</v>
      </c>
      <c r="B4949" s="10" t="s">
        <v>3779</v>
      </c>
      <c r="C4949" s="10" t="s">
        <v>3780</v>
      </c>
      <c r="D4949" s="10" t="s">
        <v>4825</v>
      </c>
      <c r="E4949" s="10" t="str">
        <f>"644020240517123256185139"</f>
        <v>644020240517123256185139</v>
      </c>
      <c r="F4949" s="9"/>
    </row>
    <row r="4950" s="2" customFormat="1" ht="30" customHeight="1" spans="1:6">
      <c r="A4950" s="9">
        <v>4947</v>
      </c>
      <c r="B4950" s="10" t="s">
        <v>3779</v>
      </c>
      <c r="C4950" s="10" t="s">
        <v>3780</v>
      </c>
      <c r="D4950" s="10" t="s">
        <v>4826</v>
      </c>
      <c r="E4950" s="10" t="str">
        <f>"644020240518104939186699"</f>
        <v>644020240518104939186699</v>
      </c>
      <c r="F4950" s="9"/>
    </row>
    <row r="4951" s="2" customFormat="1" ht="30" customHeight="1" spans="1:6">
      <c r="A4951" s="9">
        <v>4948</v>
      </c>
      <c r="B4951" s="10" t="s">
        <v>3779</v>
      </c>
      <c r="C4951" s="10" t="s">
        <v>3780</v>
      </c>
      <c r="D4951" s="10" t="s">
        <v>4827</v>
      </c>
      <c r="E4951" s="10" t="str">
        <f>"644020240518083740186414"</f>
        <v>644020240518083740186414</v>
      </c>
      <c r="F4951" s="9"/>
    </row>
    <row r="4952" s="2" customFormat="1" ht="30" customHeight="1" spans="1:6">
      <c r="A4952" s="9">
        <v>4949</v>
      </c>
      <c r="B4952" s="10" t="s">
        <v>3779</v>
      </c>
      <c r="C4952" s="10" t="s">
        <v>3780</v>
      </c>
      <c r="D4952" s="10" t="s">
        <v>4828</v>
      </c>
      <c r="E4952" s="10" t="str">
        <f>"644020240518110130186714"</f>
        <v>644020240518110130186714</v>
      </c>
      <c r="F4952" s="9"/>
    </row>
    <row r="4953" s="2" customFormat="1" ht="30" customHeight="1" spans="1:6">
      <c r="A4953" s="9">
        <v>4950</v>
      </c>
      <c r="B4953" s="10" t="s">
        <v>3779</v>
      </c>
      <c r="C4953" s="10" t="s">
        <v>3780</v>
      </c>
      <c r="D4953" s="10" t="s">
        <v>4829</v>
      </c>
      <c r="E4953" s="10" t="str">
        <f>"644020240513201631176782"</f>
        <v>644020240513201631176782</v>
      </c>
      <c r="F4953" s="9"/>
    </row>
    <row r="4954" s="2" customFormat="1" ht="30" customHeight="1" spans="1:6">
      <c r="A4954" s="9">
        <v>4951</v>
      </c>
      <c r="B4954" s="10" t="s">
        <v>3779</v>
      </c>
      <c r="C4954" s="10" t="s">
        <v>3780</v>
      </c>
      <c r="D4954" s="10" t="s">
        <v>4830</v>
      </c>
      <c r="E4954" s="10" t="str">
        <f>"644020240517145050185396"</f>
        <v>644020240517145050185396</v>
      </c>
      <c r="F4954" s="9"/>
    </row>
    <row r="4955" s="2" customFormat="1" ht="30" customHeight="1" spans="1:6">
      <c r="A4955" s="9">
        <v>4952</v>
      </c>
      <c r="B4955" s="10" t="s">
        <v>3779</v>
      </c>
      <c r="C4955" s="10" t="s">
        <v>3780</v>
      </c>
      <c r="D4955" s="10" t="s">
        <v>4831</v>
      </c>
      <c r="E4955" s="10" t="str">
        <f>"644020240518100929186589"</f>
        <v>644020240518100929186589</v>
      </c>
      <c r="F4955" s="9"/>
    </row>
    <row r="4956" s="2" customFormat="1" ht="30" customHeight="1" spans="1:6">
      <c r="A4956" s="9">
        <v>4953</v>
      </c>
      <c r="B4956" s="10" t="s">
        <v>3779</v>
      </c>
      <c r="C4956" s="10" t="s">
        <v>3780</v>
      </c>
      <c r="D4956" s="10" t="s">
        <v>4832</v>
      </c>
      <c r="E4956" s="10" t="str">
        <f>"644020240516171813183811"</f>
        <v>644020240516171813183811</v>
      </c>
      <c r="F4956" s="9"/>
    </row>
    <row r="4957" s="2" customFormat="1" ht="30" customHeight="1" spans="1:6">
      <c r="A4957" s="9">
        <v>4954</v>
      </c>
      <c r="B4957" s="10" t="s">
        <v>3779</v>
      </c>
      <c r="C4957" s="10" t="s">
        <v>3780</v>
      </c>
      <c r="D4957" s="10" t="s">
        <v>4833</v>
      </c>
      <c r="E4957" s="10" t="str">
        <f>"644020240518095626186566"</f>
        <v>644020240518095626186566</v>
      </c>
      <c r="F4957" s="9"/>
    </row>
    <row r="4958" s="2" customFormat="1" ht="30" customHeight="1" spans="1:6">
      <c r="A4958" s="9">
        <v>4955</v>
      </c>
      <c r="B4958" s="10" t="s">
        <v>3779</v>
      </c>
      <c r="C4958" s="10" t="s">
        <v>3780</v>
      </c>
      <c r="D4958" s="10" t="s">
        <v>4834</v>
      </c>
      <c r="E4958" s="10" t="str">
        <f>"644020240518114750186794"</f>
        <v>644020240518114750186794</v>
      </c>
      <c r="F4958" s="9"/>
    </row>
    <row r="4959" s="2" customFormat="1" ht="30" customHeight="1" spans="1:6">
      <c r="A4959" s="9">
        <v>4956</v>
      </c>
      <c r="B4959" s="10" t="s">
        <v>3779</v>
      </c>
      <c r="C4959" s="10" t="s">
        <v>3780</v>
      </c>
      <c r="D4959" s="10" t="s">
        <v>4835</v>
      </c>
      <c r="E4959" s="10" t="str">
        <f>"644020240515090756180783"</f>
        <v>644020240515090756180783</v>
      </c>
      <c r="F4959" s="9"/>
    </row>
    <row r="4960" s="2" customFormat="1" ht="30" customHeight="1" spans="1:6">
      <c r="A4960" s="9">
        <v>4957</v>
      </c>
      <c r="B4960" s="10" t="s">
        <v>3779</v>
      </c>
      <c r="C4960" s="10" t="s">
        <v>3780</v>
      </c>
      <c r="D4960" s="10" t="s">
        <v>4836</v>
      </c>
      <c r="E4960" s="10" t="str">
        <f>"644020240517180656185806"</f>
        <v>644020240517180656185806</v>
      </c>
      <c r="F4960" s="9"/>
    </row>
    <row r="4961" s="2" customFormat="1" ht="30" customHeight="1" spans="1:6">
      <c r="A4961" s="9">
        <v>4958</v>
      </c>
      <c r="B4961" s="10" t="s">
        <v>3779</v>
      </c>
      <c r="C4961" s="10" t="s">
        <v>3780</v>
      </c>
      <c r="D4961" s="10" t="s">
        <v>4837</v>
      </c>
      <c r="E4961" s="10" t="str">
        <f>"644020240518112727186763"</f>
        <v>644020240518112727186763</v>
      </c>
      <c r="F4961" s="9"/>
    </row>
    <row r="4962" s="2" customFormat="1" ht="30" customHeight="1" spans="1:6">
      <c r="A4962" s="9">
        <v>4959</v>
      </c>
      <c r="B4962" s="10" t="s">
        <v>3779</v>
      </c>
      <c r="C4962" s="10" t="s">
        <v>3780</v>
      </c>
      <c r="D4962" s="10" t="s">
        <v>4838</v>
      </c>
      <c r="E4962" s="10" t="str">
        <f>"644020240517180254185796"</f>
        <v>644020240517180254185796</v>
      </c>
      <c r="F4962" s="9"/>
    </row>
    <row r="4963" s="2" customFormat="1" ht="30" customHeight="1" spans="1:6">
      <c r="A4963" s="9">
        <v>4960</v>
      </c>
      <c r="B4963" s="10" t="s">
        <v>3779</v>
      </c>
      <c r="C4963" s="10" t="s">
        <v>3780</v>
      </c>
      <c r="D4963" s="10" t="s">
        <v>4839</v>
      </c>
      <c r="E4963" s="10" t="str">
        <f>"644020240517102152184866"</f>
        <v>644020240517102152184866</v>
      </c>
      <c r="F4963" s="9"/>
    </row>
    <row r="4964" s="2" customFormat="1" ht="30" customHeight="1" spans="1:6">
      <c r="A4964" s="9">
        <v>4961</v>
      </c>
      <c r="B4964" s="10" t="s">
        <v>4840</v>
      </c>
      <c r="C4964" s="10" t="s">
        <v>4841</v>
      </c>
      <c r="D4964" s="10" t="s">
        <v>4842</v>
      </c>
      <c r="E4964" s="10" t="str">
        <f>"644020240512092715168227"</f>
        <v>644020240512092715168227</v>
      </c>
      <c r="F4964" s="9"/>
    </row>
    <row r="4965" s="2" customFormat="1" ht="30" customHeight="1" spans="1:6">
      <c r="A4965" s="9">
        <v>4962</v>
      </c>
      <c r="B4965" s="10" t="s">
        <v>4840</v>
      </c>
      <c r="C4965" s="10" t="s">
        <v>4841</v>
      </c>
      <c r="D4965" s="10" t="s">
        <v>4843</v>
      </c>
      <c r="E4965" s="10" t="str">
        <f>"644020240512090240168104"</f>
        <v>644020240512090240168104</v>
      </c>
      <c r="F4965" s="9"/>
    </row>
    <row r="4966" s="2" customFormat="1" ht="30" customHeight="1" spans="1:6">
      <c r="A4966" s="9">
        <v>4963</v>
      </c>
      <c r="B4966" s="10" t="s">
        <v>4840</v>
      </c>
      <c r="C4966" s="10" t="s">
        <v>4841</v>
      </c>
      <c r="D4966" s="10" t="s">
        <v>4844</v>
      </c>
      <c r="E4966" s="10" t="str">
        <f>"644020240512092256168208"</f>
        <v>644020240512092256168208</v>
      </c>
      <c r="F4966" s="9"/>
    </row>
    <row r="4967" s="2" customFormat="1" ht="30" customHeight="1" spans="1:6">
      <c r="A4967" s="9">
        <v>4964</v>
      </c>
      <c r="B4967" s="10" t="s">
        <v>4840</v>
      </c>
      <c r="C4967" s="10" t="s">
        <v>4841</v>
      </c>
      <c r="D4967" s="10" t="s">
        <v>4845</v>
      </c>
      <c r="E4967" s="10" t="str">
        <f>"644020240512091826168187"</f>
        <v>644020240512091826168187</v>
      </c>
      <c r="F4967" s="9"/>
    </row>
    <row r="4968" s="2" customFormat="1" ht="30" customHeight="1" spans="1:6">
      <c r="A4968" s="9">
        <v>4965</v>
      </c>
      <c r="B4968" s="10" t="s">
        <v>4840</v>
      </c>
      <c r="C4968" s="10" t="s">
        <v>4841</v>
      </c>
      <c r="D4968" s="10" t="s">
        <v>4846</v>
      </c>
      <c r="E4968" s="10" t="str">
        <f>"644020240512092317168210"</f>
        <v>644020240512092317168210</v>
      </c>
      <c r="F4968" s="9"/>
    </row>
    <row r="4969" s="2" customFormat="1" ht="30" customHeight="1" spans="1:6">
      <c r="A4969" s="9">
        <v>4966</v>
      </c>
      <c r="B4969" s="10" t="s">
        <v>4840</v>
      </c>
      <c r="C4969" s="10" t="s">
        <v>4841</v>
      </c>
      <c r="D4969" s="10" t="s">
        <v>4847</v>
      </c>
      <c r="E4969" s="10" t="str">
        <f>"644020240512094015168288"</f>
        <v>644020240512094015168288</v>
      </c>
      <c r="F4969" s="9"/>
    </row>
    <row r="4970" s="2" customFormat="1" ht="30" customHeight="1" spans="1:6">
      <c r="A4970" s="9">
        <v>4967</v>
      </c>
      <c r="B4970" s="10" t="s">
        <v>4840</v>
      </c>
      <c r="C4970" s="10" t="s">
        <v>4841</v>
      </c>
      <c r="D4970" s="10" t="s">
        <v>4848</v>
      </c>
      <c r="E4970" s="10" t="str">
        <f>"644020240512090548168114"</f>
        <v>644020240512090548168114</v>
      </c>
      <c r="F4970" s="9"/>
    </row>
    <row r="4971" s="2" customFormat="1" ht="30" customHeight="1" spans="1:6">
      <c r="A4971" s="9">
        <v>4968</v>
      </c>
      <c r="B4971" s="10" t="s">
        <v>4840</v>
      </c>
      <c r="C4971" s="10" t="s">
        <v>4841</v>
      </c>
      <c r="D4971" s="10" t="s">
        <v>4849</v>
      </c>
      <c r="E4971" s="10" t="str">
        <f>"644020240512094340168299"</f>
        <v>644020240512094340168299</v>
      </c>
      <c r="F4971" s="9"/>
    </row>
    <row r="4972" s="2" customFormat="1" ht="30" customHeight="1" spans="1:6">
      <c r="A4972" s="9">
        <v>4969</v>
      </c>
      <c r="B4972" s="10" t="s">
        <v>4840</v>
      </c>
      <c r="C4972" s="10" t="s">
        <v>4841</v>
      </c>
      <c r="D4972" s="10" t="s">
        <v>4850</v>
      </c>
      <c r="E4972" s="10" t="str">
        <f>"644020240512092059168201"</f>
        <v>644020240512092059168201</v>
      </c>
      <c r="F4972" s="9"/>
    </row>
    <row r="4973" s="2" customFormat="1" ht="30" customHeight="1" spans="1:6">
      <c r="A4973" s="9">
        <v>4970</v>
      </c>
      <c r="B4973" s="10" t="s">
        <v>4840</v>
      </c>
      <c r="C4973" s="10" t="s">
        <v>4841</v>
      </c>
      <c r="D4973" s="10" t="s">
        <v>4851</v>
      </c>
      <c r="E4973" s="10" t="str">
        <f>"644020240512093712168278"</f>
        <v>644020240512093712168278</v>
      </c>
      <c r="F4973" s="9"/>
    </row>
    <row r="4974" s="2" customFormat="1" ht="30" customHeight="1" spans="1:6">
      <c r="A4974" s="9">
        <v>4971</v>
      </c>
      <c r="B4974" s="10" t="s">
        <v>4840</v>
      </c>
      <c r="C4974" s="10" t="s">
        <v>4841</v>
      </c>
      <c r="D4974" s="10" t="s">
        <v>4852</v>
      </c>
      <c r="E4974" s="10" t="str">
        <f>"644020240512093328168258"</f>
        <v>644020240512093328168258</v>
      </c>
      <c r="F4974" s="9"/>
    </row>
    <row r="4975" s="2" customFormat="1" ht="30" customHeight="1" spans="1:6">
      <c r="A4975" s="9">
        <v>4972</v>
      </c>
      <c r="B4975" s="10" t="s">
        <v>4840</v>
      </c>
      <c r="C4975" s="10" t="s">
        <v>4841</v>
      </c>
      <c r="D4975" s="10" t="s">
        <v>4853</v>
      </c>
      <c r="E4975" s="10" t="str">
        <f>"644020240512093450168263"</f>
        <v>644020240512093450168263</v>
      </c>
      <c r="F4975" s="9"/>
    </row>
    <row r="4976" s="2" customFormat="1" ht="30" customHeight="1" spans="1:6">
      <c r="A4976" s="9">
        <v>4973</v>
      </c>
      <c r="B4976" s="10" t="s">
        <v>4840</v>
      </c>
      <c r="C4976" s="10" t="s">
        <v>4841</v>
      </c>
      <c r="D4976" s="10" t="s">
        <v>4854</v>
      </c>
      <c r="E4976" s="10" t="str">
        <f>"644020240512091051168147"</f>
        <v>644020240512091051168147</v>
      </c>
      <c r="F4976" s="9"/>
    </row>
    <row r="4977" s="2" customFormat="1" ht="30" customHeight="1" spans="1:6">
      <c r="A4977" s="9">
        <v>4974</v>
      </c>
      <c r="B4977" s="10" t="s">
        <v>4840</v>
      </c>
      <c r="C4977" s="10" t="s">
        <v>4841</v>
      </c>
      <c r="D4977" s="10" t="s">
        <v>4855</v>
      </c>
      <c r="E4977" s="10" t="str">
        <f>"644020240512091148168154"</f>
        <v>644020240512091148168154</v>
      </c>
      <c r="F4977" s="9"/>
    </row>
    <row r="4978" s="2" customFormat="1" ht="30" customHeight="1" spans="1:6">
      <c r="A4978" s="9">
        <v>4975</v>
      </c>
      <c r="B4978" s="10" t="s">
        <v>4840</v>
      </c>
      <c r="C4978" s="10" t="s">
        <v>4841</v>
      </c>
      <c r="D4978" s="10" t="s">
        <v>4856</v>
      </c>
      <c r="E4978" s="10" t="str">
        <f>"644020240512100003168391"</f>
        <v>644020240512100003168391</v>
      </c>
      <c r="F4978" s="9"/>
    </row>
    <row r="4979" s="2" customFormat="1" ht="30" customHeight="1" spans="1:6">
      <c r="A4979" s="9">
        <v>4976</v>
      </c>
      <c r="B4979" s="10" t="s">
        <v>4840</v>
      </c>
      <c r="C4979" s="10" t="s">
        <v>4841</v>
      </c>
      <c r="D4979" s="10" t="s">
        <v>4857</v>
      </c>
      <c r="E4979" s="10" t="str">
        <f>"644020240512091845168191"</f>
        <v>644020240512091845168191</v>
      </c>
      <c r="F4979" s="9"/>
    </row>
    <row r="4980" s="2" customFormat="1" ht="30" customHeight="1" spans="1:6">
      <c r="A4980" s="9">
        <v>4977</v>
      </c>
      <c r="B4980" s="10" t="s">
        <v>4840</v>
      </c>
      <c r="C4980" s="10" t="s">
        <v>4841</v>
      </c>
      <c r="D4980" s="10" t="s">
        <v>4858</v>
      </c>
      <c r="E4980" s="10" t="str">
        <f>"644020240512095601168358"</f>
        <v>644020240512095601168358</v>
      </c>
      <c r="F4980" s="9"/>
    </row>
    <row r="4981" s="2" customFormat="1" ht="30" customHeight="1" spans="1:6">
      <c r="A4981" s="9">
        <v>4978</v>
      </c>
      <c r="B4981" s="10" t="s">
        <v>4840</v>
      </c>
      <c r="C4981" s="10" t="s">
        <v>4841</v>
      </c>
      <c r="D4981" s="10" t="s">
        <v>4859</v>
      </c>
      <c r="E4981" s="10" t="str">
        <f>"644020240512101114168453"</f>
        <v>644020240512101114168453</v>
      </c>
      <c r="F4981" s="9"/>
    </row>
    <row r="4982" s="2" customFormat="1" ht="30" customHeight="1" spans="1:6">
      <c r="A4982" s="9">
        <v>4979</v>
      </c>
      <c r="B4982" s="10" t="s">
        <v>4840</v>
      </c>
      <c r="C4982" s="10" t="s">
        <v>4841</v>
      </c>
      <c r="D4982" s="10" t="s">
        <v>4860</v>
      </c>
      <c r="E4982" s="10" t="str">
        <f>"644020240512095640168363"</f>
        <v>644020240512095640168363</v>
      </c>
      <c r="F4982" s="9"/>
    </row>
    <row r="4983" s="2" customFormat="1" ht="30" customHeight="1" spans="1:6">
      <c r="A4983" s="9">
        <v>4980</v>
      </c>
      <c r="B4983" s="10" t="s">
        <v>4840</v>
      </c>
      <c r="C4983" s="10" t="s">
        <v>4841</v>
      </c>
      <c r="D4983" s="10" t="s">
        <v>4861</v>
      </c>
      <c r="E4983" s="10" t="str">
        <f>"644020240512101015168447"</f>
        <v>644020240512101015168447</v>
      </c>
      <c r="F4983" s="9"/>
    </row>
    <row r="4984" s="2" customFormat="1" ht="30" customHeight="1" spans="1:6">
      <c r="A4984" s="9">
        <v>4981</v>
      </c>
      <c r="B4984" s="10" t="s">
        <v>4840</v>
      </c>
      <c r="C4984" s="10" t="s">
        <v>4841</v>
      </c>
      <c r="D4984" s="10" t="s">
        <v>4862</v>
      </c>
      <c r="E4984" s="10" t="str">
        <f>"644020240512095513168352"</f>
        <v>644020240512095513168352</v>
      </c>
      <c r="F4984" s="9"/>
    </row>
    <row r="4985" s="2" customFormat="1" ht="30" customHeight="1" spans="1:6">
      <c r="A4985" s="9">
        <v>4982</v>
      </c>
      <c r="B4985" s="10" t="s">
        <v>4840</v>
      </c>
      <c r="C4985" s="10" t="s">
        <v>4841</v>
      </c>
      <c r="D4985" s="10" t="s">
        <v>4863</v>
      </c>
      <c r="E4985" s="10" t="str">
        <f>"644020240512091647168180"</f>
        <v>644020240512091647168180</v>
      </c>
      <c r="F4985" s="9"/>
    </row>
    <row r="4986" s="2" customFormat="1" ht="30" customHeight="1" spans="1:6">
      <c r="A4986" s="9">
        <v>4983</v>
      </c>
      <c r="B4986" s="10" t="s">
        <v>4840</v>
      </c>
      <c r="C4986" s="10" t="s">
        <v>4841</v>
      </c>
      <c r="D4986" s="10" t="s">
        <v>4864</v>
      </c>
      <c r="E4986" s="10" t="str">
        <f>"644020240512094537168304"</f>
        <v>644020240512094537168304</v>
      </c>
      <c r="F4986" s="9"/>
    </row>
    <row r="4987" s="2" customFormat="1" ht="30" customHeight="1" spans="1:6">
      <c r="A4987" s="9">
        <v>4984</v>
      </c>
      <c r="B4987" s="10" t="s">
        <v>4840</v>
      </c>
      <c r="C4987" s="10" t="s">
        <v>4841</v>
      </c>
      <c r="D4987" s="10" t="s">
        <v>4865</v>
      </c>
      <c r="E4987" s="10" t="str">
        <f>"644020240512100604168423"</f>
        <v>644020240512100604168423</v>
      </c>
      <c r="F4987" s="9"/>
    </row>
    <row r="4988" s="2" customFormat="1" ht="30" customHeight="1" spans="1:6">
      <c r="A4988" s="9">
        <v>4985</v>
      </c>
      <c r="B4988" s="10" t="s">
        <v>4840</v>
      </c>
      <c r="C4988" s="10" t="s">
        <v>4841</v>
      </c>
      <c r="D4988" s="10" t="s">
        <v>4866</v>
      </c>
      <c r="E4988" s="10" t="str">
        <f>"644020240512101946168504"</f>
        <v>644020240512101946168504</v>
      </c>
      <c r="F4988" s="9"/>
    </row>
    <row r="4989" s="2" customFormat="1" ht="30" customHeight="1" spans="1:6">
      <c r="A4989" s="9">
        <v>4986</v>
      </c>
      <c r="B4989" s="10" t="s">
        <v>4840</v>
      </c>
      <c r="C4989" s="10" t="s">
        <v>4841</v>
      </c>
      <c r="D4989" s="10" t="s">
        <v>4867</v>
      </c>
      <c r="E4989" s="10" t="str">
        <f>"644020240512100928168437"</f>
        <v>644020240512100928168437</v>
      </c>
      <c r="F4989" s="9"/>
    </row>
    <row r="4990" s="2" customFormat="1" ht="30" customHeight="1" spans="1:6">
      <c r="A4990" s="9">
        <v>4987</v>
      </c>
      <c r="B4990" s="10" t="s">
        <v>4840</v>
      </c>
      <c r="C4990" s="10" t="s">
        <v>4841</v>
      </c>
      <c r="D4990" s="10" t="s">
        <v>4868</v>
      </c>
      <c r="E4990" s="10" t="str">
        <f>"644020240512090909168134"</f>
        <v>644020240512090909168134</v>
      </c>
      <c r="F4990" s="9"/>
    </row>
    <row r="4991" s="2" customFormat="1" ht="30" customHeight="1" spans="1:6">
      <c r="A4991" s="9">
        <v>4988</v>
      </c>
      <c r="B4991" s="10" t="s">
        <v>4840</v>
      </c>
      <c r="C4991" s="10" t="s">
        <v>4841</v>
      </c>
      <c r="D4991" s="10" t="s">
        <v>4869</v>
      </c>
      <c r="E4991" s="10" t="str">
        <f>"644020240512102230168519"</f>
        <v>644020240512102230168519</v>
      </c>
      <c r="F4991" s="9"/>
    </row>
    <row r="4992" s="2" customFormat="1" ht="30" customHeight="1" spans="1:6">
      <c r="A4992" s="9">
        <v>4989</v>
      </c>
      <c r="B4992" s="10" t="s">
        <v>4840</v>
      </c>
      <c r="C4992" s="10" t="s">
        <v>4841</v>
      </c>
      <c r="D4992" s="10" t="s">
        <v>4870</v>
      </c>
      <c r="E4992" s="10" t="str">
        <f>"644020240512101926168498"</f>
        <v>644020240512101926168498</v>
      </c>
      <c r="F4992" s="9"/>
    </row>
    <row r="4993" s="2" customFormat="1" ht="30" customHeight="1" spans="1:6">
      <c r="A4993" s="9">
        <v>4990</v>
      </c>
      <c r="B4993" s="10" t="s">
        <v>4840</v>
      </c>
      <c r="C4993" s="10" t="s">
        <v>4841</v>
      </c>
      <c r="D4993" s="10" t="s">
        <v>4871</v>
      </c>
      <c r="E4993" s="10" t="str">
        <f>"644020240512102154168512"</f>
        <v>644020240512102154168512</v>
      </c>
      <c r="F4993" s="9"/>
    </row>
    <row r="4994" s="2" customFormat="1" ht="30" customHeight="1" spans="1:6">
      <c r="A4994" s="9">
        <v>4991</v>
      </c>
      <c r="B4994" s="10" t="s">
        <v>4840</v>
      </c>
      <c r="C4994" s="10" t="s">
        <v>4841</v>
      </c>
      <c r="D4994" s="10" t="s">
        <v>4872</v>
      </c>
      <c r="E4994" s="10" t="str">
        <f>"644020240512095530168355"</f>
        <v>644020240512095530168355</v>
      </c>
      <c r="F4994" s="9"/>
    </row>
    <row r="4995" s="2" customFormat="1" ht="30" customHeight="1" spans="1:6">
      <c r="A4995" s="9">
        <v>4992</v>
      </c>
      <c r="B4995" s="10" t="s">
        <v>4840</v>
      </c>
      <c r="C4995" s="10" t="s">
        <v>4841</v>
      </c>
      <c r="D4995" s="10" t="s">
        <v>4873</v>
      </c>
      <c r="E4995" s="10" t="str">
        <f>"644020240512103722168607"</f>
        <v>644020240512103722168607</v>
      </c>
      <c r="F4995" s="9"/>
    </row>
    <row r="4996" s="2" customFormat="1" ht="30" customHeight="1" spans="1:6">
      <c r="A4996" s="9">
        <v>4993</v>
      </c>
      <c r="B4996" s="10" t="s">
        <v>4840</v>
      </c>
      <c r="C4996" s="10" t="s">
        <v>4841</v>
      </c>
      <c r="D4996" s="10" t="s">
        <v>4874</v>
      </c>
      <c r="E4996" s="10" t="str">
        <f>"644020240512095344168342"</f>
        <v>644020240512095344168342</v>
      </c>
      <c r="F4996" s="9"/>
    </row>
    <row r="4997" s="2" customFormat="1" ht="30" customHeight="1" spans="1:6">
      <c r="A4997" s="9">
        <v>4994</v>
      </c>
      <c r="B4997" s="10" t="s">
        <v>4840</v>
      </c>
      <c r="C4997" s="10" t="s">
        <v>4841</v>
      </c>
      <c r="D4997" s="10" t="s">
        <v>4875</v>
      </c>
      <c r="E4997" s="10" t="str">
        <f>"644020240512091105168149"</f>
        <v>644020240512091105168149</v>
      </c>
      <c r="F4997" s="9"/>
    </row>
    <row r="4998" s="2" customFormat="1" ht="30" customHeight="1" spans="1:6">
      <c r="A4998" s="9">
        <v>4995</v>
      </c>
      <c r="B4998" s="10" t="s">
        <v>4840</v>
      </c>
      <c r="C4998" s="10" t="s">
        <v>4841</v>
      </c>
      <c r="D4998" s="10" t="s">
        <v>4876</v>
      </c>
      <c r="E4998" s="10" t="str">
        <f>"644020240512104023168626"</f>
        <v>644020240512104023168626</v>
      </c>
      <c r="F4998" s="9"/>
    </row>
    <row r="4999" s="2" customFormat="1" ht="30" customHeight="1" spans="1:6">
      <c r="A4999" s="9">
        <v>4996</v>
      </c>
      <c r="B4999" s="10" t="s">
        <v>4840</v>
      </c>
      <c r="C4999" s="10" t="s">
        <v>4841</v>
      </c>
      <c r="D4999" s="10" t="s">
        <v>4877</v>
      </c>
      <c r="E4999" s="10" t="str">
        <f>"644020240512104040168627"</f>
        <v>644020240512104040168627</v>
      </c>
      <c r="F4999" s="9"/>
    </row>
    <row r="5000" s="2" customFormat="1" ht="30" customHeight="1" spans="1:6">
      <c r="A5000" s="9">
        <v>4997</v>
      </c>
      <c r="B5000" s="10" t="s">
        <v>4840</v>
      </c>
      <c r="C5000" s="10" t="s">
        <v>4841</v>
      </c>
      <c r="D5000" s="10" t="s">
        <v>4878</v>
      </c>
      <c r="E5000" s="10" t="str">
        <f>"644020240512103204168577"</f>
        <v>644020240512103204168577</v>
      </c>
      <c r="F5000" s="9"/>
    </row>
    <row r="5001" s="2" customFormat="1" ht="30" customHeight="1" spans="1:6">
      <c r="A5001" s="9">
        <v>4998</v>
      </c>
      <c r="B5001" s="10" t="s">
        <v>4840</v>
      </c>
      <c r="C5001" s="10" t="s">
        <v>4841</v>
      </c>
      <c r="D5001" s="10" t="s">
        <v>4879</v>
      </c>
      <c r="E5001" s="10" t="str">
        <f>"644020240512105101168677"</f>
        <v>644020240512105101168677</v>
      </c>
      <c r="F5001" s="9"/>
    </row>
    <row r="5002" s="2" customFormat="1" ht="30" customHeight="1" spans="1:6">
      <c r="A5002" s="9">
        <v>4999</v>
      </c>
      <c r="B5002" s="10" t="s">
        <v>4840</v>
      </c>
      <c r="C5002" s="10" t="s">
        <v>4841</v>
      </c>
      <c r="D5002" s="10" t="s">
        <v>4880</v>
      </c>
      <c r="E5002" s="10" t="str">
        <f>"644020240512102040168508"</f>
        <v>644020240512102040168508</v>
      </c>
      <c r="F5002" s="9"/>
    </row>
    <row r="5003" s="2" customFormat="1" ht="30" customHeight="1" spans="1:6">
      <c r="A5003" s="9">
        <v>5000</v>
      </c>
      <c r="B5003" s="10" t="s">
        <v>4840</v>
      </c>
      <c r="C5003" s="10" t="s">
        <v>4841</v>
      </c>
      <c r="D5003" s="10" t="s">
        <v>4881</v>
      </c>
      <c r="E5003" s="10" t="str">
        <f>"644020240512105541168697"</f>
        <v>644020240512105541168697</v>
      </c>
      <c r="F5003" s="9"/>
    </row>
    <row r="5004" s="2" customFormat="1" ht="30" customHeight="1" spans="1:6">
      <c r="A5004" s="9">
        <v>5001</v>
      </c>
      <c r="B5004" s="10" t="s">
        <v>4840</v>
      </c>
      <c r="C5004" s="10" t="s">
        <v>4841</v>
      </c>
      <c r="D5004" s="10" t="s">
        <v>4882</v>
      </c>
      <c r="E5004" s="10" t="str">
        <f>"644020240512102329168525"</f>
        <v>644020240512102329168525</v>
      </c>
      <c r="F5004" s="9"/>
    </row>
    <row r="5005" s="2" customFormat="1" ht="30" customHeight="1" spans="1:6">
      <c r="A5005" s="9">
        <v>5002</v>
      </c>
      <c r="B5005" s="10" t="s">
        <v>4840</v>
      </c>
      <c r="C5005" s="10" t="s">
        <v>4841</v>
      </c>
      <c r="D5005" s="10" t="s">
        <v>4883</v>
      </c>
      <c r="E5005" s="10" t="str">
        <f>"644020240512090312168105"</f>
        <v>644020240512090312168105</v>
      </c>
      <c r="F5005" s="9"/>
    </row>
    <row r="5006" s="2" customFormat="1" ht="30" customHeight="1" spans="1:6">
      <c r="A5006" s="9">
        <v>5003</v>
      </c>
      <c r="B5006" s="10" t="s">
        <v>4840</v>
      </c>
      <c r="C5006" s="10" t="s">
        <v>4841</v>
      </c>
      <c r="D5006" s="10" t="s">
        <v>4547</v>
      </c>
      <c r="E5006" s="10" t="str">
        <f>"644020240512111314168789"</f>
        <v>644020240512111314168789</v>
      </c>
      <c r="F5006" s="9"/>
    </row>
    <row r="5007" s="2" customFormat="1" ht="30" customHeight="1" spans="1:6">
      <c r="A5007" s="9">
        <v>5004</v>
      </c>
      <c r="B5007" s="10" t="s">
        <v>4840</v>
      </c>
      <c r="C5007" s="10" t="s">
        <v>4841</v>
      </c>
      <c r="D5007" s="10" t="s">
        <v>3611</v>
      </c>
      <c r="E5007" s="10" t="str">
        <f>"644020240512102344168527"</f>
        <v>644020240512102344168527</v>
      </c>
      <c r="F5007" s="9"/>
    </row>
    <row r="5008" s="2" customFormat="1" ht="30" customHeight="1" spans="1:6">
      <c r="A5008" s="9">
        <v>5005</v>
      </c>
      <c r="B5008" s="10" t="s">
        <v>4840</v>
      </c>
      <c r="C5008" s="10" t="s">
        <v>4841</v>
      </c>
      <c r="D5008" s="10" t="s">
        <v>4884</v>
      </c>
      <c r="E5008" s="10" t="str">
        <f>"644020240512111543168801"</f>
        <v>644020240512111543168801</v>
      </c>
      <c r="F5008" s="9"/>
    </row>
    <row r="5009" s="2" customFormat="1" ht="30" customHeight="1" spans="1:6">
      <c r="A5009" s="9">
        <v>5006</v>
      </c>
      <c r="B5009" s="10" t="s">
        <v>4840</v>
      </c>
      <c r="C5009" s="10" t="s">
        <v>4841</v>
      </c>
      <c r="D5009" s="10" t="s">
        <v>4885</v>
      </c>
      <c r="E5009" s="10" t="str">
        <f>"644020240512110501168746"</f>
        <v>644020240512110501168746</v>
      </c>
      <c r="F5009" s="9"/>
    </row>
    <row r="5010" s="2" customFormat="1" ht="30" customHeight="1" spans="1:6">
      <c r="A5010" s="9">
        <v>5007</v>
      </c>
      <c r="B5010" s="10" t="s">
        <v>4840</v>
      </c>
      <c r="C5010" s="10" t="s">
        <v>4841</v>
      </c>
      <c r="D5010" s="10" t="s">
        <v>4886</v>
      </c>
      <c r="E5010" s="10" t="str">
        <f>"644020240512110552168750"</f>
        <v>644020240512110552168750</v>
      </c>
      <c r="F5010" s="9"/>
    </row>
    <row r="5011" s="2" customFormat="1" ht="30" customHeight="1" spans="1:6">
      <c r="A5011" s="9">
        <v>5008</v>
      </c>
      <c r="B5011" s="10" t="s">
        <v>4840</v>
      </c>
      <c r="C5011" s="10" t="s">
        <v>4841</v>
      </c>
      <c r="D5011" s="10" t="s">
        <v>4887</v>
      </c>
      <c r="E5011" s="10" t="str">
        <f>"644020240512112814168873"</f>
        <v>644020240512112814168873</v>
      </c>
      <c r="F5011" s="9"/>
    </row>
    <row r="5012" s="2" customFormat="1" ht="30" customHeight="1" spans="1:6">
      <c r="A5012" s="9">
        <v>5009</v>
      </c>
      <c r="B5012" s="10" t="s">
        <v>4840</v>
      </c>
      <c r="C5012" s="10" t="s">
        <v>4841</v>
      </c>
      <c r="D5012" s="10" t="s">
        <v>2196</v>
      </c>
      <c r="E5012" s="10" t="str">
        <f>"644020240512101924168497"</f>
        <v>644020240512101924168497</v>
      </c>
      <c r="F5012" s="9"/>
    </row>
    <row r="5013" s="2" customFormat="1" ht="30" customHeight="1" spans="1:6">
      <c r="A5013" s="9">
        <v>5010</v>
      </c>
      <c r="B5013" s="10" t="s">
        <v>4840</v>
      </c>
      <c r="C5013" s="10" t="s">
        <v>4841</v>
      </c>
      <c r="D5013" s="10" t="s">
        <v>4888</v>
      </c>
      <c r="E5013" s="10" t="str">
        <f>"644020240512114030168938"</f>
        <v>644020240512114030168938</v>
      </c>
      <c r="F5013" s="9"/>
    </row>
    <row r="5014" s="2" customFormat="1" ht="30" customHeight="1" spans="1:6">
      <c r="A5014" s="9">
        <v>5011</v>
      </c>
      <c r="B5014" s="10" t="s">
        <v>4840</v>
      </c>
      <c r="C5014" s="10" t="s">
        <v>4841</v>
      </c>
      <c r="D5014" s="10" t="s">
        <v>4889</v>
      </c>
      <c r="E5014" s="10" t="str">
        <f>"644020240512105810168709"</f>
        <v>644020240512105810168709</v>
      </c>
      <c r="F5014" s="9"/>
    </row>
    <row r="5015" s="2" customFormat="1" ht="30" customHeight="1" spans="1:6">
      <c r="A5015" s="9">
        <v>5012</v>
      </c>
      <c r="B5015" s="10" t="s">
        <v>4840</v>
      </c>
      <c r="C5015" s="10" t="s">
        <v>4841</v>
      </c>
      <c r="D5015" s="10" t="s">
        <v>4890</v>
      </c>
      <c r="E5015" s="10" t="str">
        <f>"644020240512104716168658"</f>
        <v>644020240512104716168658</v>
      </c>
      <c r="F5015" s="9"/>
    </row>
    <row r="5016" s="2" customFormat="1" ht="30" customHeight="1" spans="1:6">
      <c r="A5016" s="9">
        <v>5013</v>
      </c>
      <c r="B5016" s="10" t="s">
        <v>4840</v>
      </c>
      <c r="C5016" s="10" t="s">
        <v>4841</v>
      </c>
      <c r="D5016" s="10" t="s">
        <v>4891</v>
      </c>
      <c r="E5016" s="10" t="str">
        <f>"644020240512102515168536"</f>
        <v>644020240512102515168536</v>
      </c>
      <c r="F5016" s="9"/>
    </row>
    <row r="5017" s="2" customFormat="1" ht="30" customHeight="1" spans="1:6">
      <c r="A5017" s="9">
        <v>5014</v>
      </c>
      <c r="B5017" s="10" t="s">
        <v>4840</v>
      </c>
      <c r="C5017" s="10" t="s">
        <v>4841</v>
      </c>
      <c r="D5017" s="10" t="s">
        <v>4892</v>
      </c>
      <c r="E5017" s="10" t="str">
        <f>"644020240512112712168870"</f>
        <v>644020240512112712168870</v>
      </c>
      <c r="F5017" s="9"/>
    </row>
    <row r="5018" s="2" customFormat="1" ht="30" customHeight="1" spans="1:6">
      <c r="A5018" s="9">
        <v>5015</v>
      </c>
      <c r="B5018" s="10" t="s">
        <v>4840</v>
      </c>
      <c r="C5018" s="10" t="s">
        <v>4841</v>
      </c>
      <c r="D5018" s="10" t="s">
        <v>4893</v>
      </c>
      <c r="E5018" s="10" t="str">
        <f>"644020240512111934168825"</f>
        <v>644020240512111934168825</v>
      </c>
      <c r="F5018" s="9"/>
    </row>
    <row r="5019" s="2" customFormat="1" ht="30" customHeight="1" spans="1:6">
      <c r="A5019" s="9">
        <v>5016</v>
      </c>
      <c r="B5019" s="10" t="s">
        <v>4840</v>
      </c>
      <c r="C5019" s="10" t="s">
        <v>4841</v>
      </c>
      <c r="D5019" s="10" t="s">
        <v>4894</v>
      </c>
      <c r="E5019" s="10" t="str">
        <f>"644020240512103657168605"</f>
        <v>644020240512103657168605</v>
      </c>
      <c r="F5019" s="9"/>
    </row>
    <row r="5020" s="2" customFormat="1" ht="30" customHeight="1" spans="1:6">
      <c r="A5020" s="9">
        <v>5017</v>
      </c>
      <c r="B5020" s="10" t="s">
        <v>4840</v>
      </c>
      <c r="C5020" s="10" t="s">
        <v>4841</v>
      </c>
      <c r="D5020" s="10" t="s">
        <v>4895</v>
      </c>
      <c r="E5020" s="10" t="str">
        <f>"644020240512113354168902"</f>
        <v>644020240512113354168902</v>
      </c>
      <c r="F5020" s="9"/>
    </row>
    <row r="5021" s="2" customFormat="1" ht="30" customHeight="1" spans="1:6">
      <c r="A5021" s="9">
        <v>5018</v>
      </c>
      <c r="B5021" s="10" t="s">
        <v>4840</v>
      </c>
      <c r="C5021" s="10" t="s">
        <v>4841</v>
      </c>
      <c r="D5021" s="10" t="s">
        <v>4896</v>
      </c>
      <c r="E5021" s="10" t="str">
        <f>"644020240512121003169050"</f>
        <v>644020240512121003169050</v>
      </c>
      <c r="F5021" s="9"/>
    </row>
    <row r="5022" s="2" customFormat="1" ht="30" customHeight="1" spans="1:6">
      <c r="A5022" s="9">
        <v>5019</v>
      </c>
      <c r="B5022" s="10" t="s">
        <v>4840</v>
      </c>
      <c r="C5022" s="10" t="s">
        <v>4841</v>
      </c>
      <c r="D5022" s="10" t="s">
        <v>4897</v>
      </c>
      <c r="E5022" s="10" t="str">
        <f>"644020240512113058168886"</f>
        <v>644020240512113058168886</v>
      </c>
      <c r="F5022" s="9"/>
    </row>
    <row r="5023" s="2" customFormat="1" ht="30" customHeight="1" spans="1:6">
      <c r="A5023" s="9">
        <v>5020</v>
      </c>
      <c r="B5023" s="10" t="s">
        <v>4840</v>
      </c>
      <c r="C5023" s="10" t="s">
        <v>4841</v>
      </c>
      <c r="D5023" s="10" t="s">
        <v>4898</v>
      </c>
      <c r="E5023" s="10" t="str">
        <f>"644020240512122844169115"</f>
        <v>644020240512122844169115</v>
      </c>
      <c r="F5023" s="9"/>
    </row>
    <row r="5024" s="2" customFormat="1" ht="30" customHeight="1" spans="1:6">
      <c r="A5024" s="9">
        <v>5021</v>
      </c>
      <c r="B5024" s="10" t="s">
        <v>4840</v>
      </c>
      <c r="C5024" s="10" t="s">
        <v>4841</v>
      </c>
      <c r="D5024" s="10" t="s">
        <v>4899</v>
      </c>
      <c r="E5024" s="10" t="str">
        <f>"644020240512123106169123"</f>
        <v>644020240512123106169123</v>
      </c>
      <c r="F5024" s="9"/>
    </row>
    <row r="5025" s="2" customFormat="1" ht="30" customHeight="1" spans="1:6">
      <c r="A5025" s="9">
        <v>5022</v>
      </c>
      <c r="B5025" s="10" t="s">
        <v>4840</v>
      </c>
      <c r="C5025" s="10" t="s">
        <v>4841</v>
      </c>
      <c r="D5025" s="10" t="s">
        <v>4900</v>
      </c>
      <c r="E5025" s="10" t="str">
        <f>"644020240512114728168966"</f>
        <v>644020240512114728168966</v>
      </c>
      <c r="F5025" s="9"/>
    </row>
    <row r="5026" s="2" customFormat="1" ht="30" customHeight="1" spans="1:6">
      <c r="A5026" s="9">
        <v>5023</v>
      </c>
      <c r="B5026" s="10" t="s">
        <v>4840</v>
      </c>
      <c r="C5026" s="10" t="s">
        <v>4841</v>
      </c>
      <c r="D5026" s="10" t="s">
        <v>4901</v>
      </c>
      <c r="E5026" s="10" t="str">
        <f>"644020240512121035169052"</f>
        <v>644020240512121035169052</v>
      </c>
      <c r="F5026" s="9"/>
    </row>
    <row r="5027" s="2" customFormat="1" ht="30" customHeight="1" spans="1:6">
      <c r="A5027" s="9">
        <v>5024</v>
      </c>
      <c r="B5027" s="10" t="s">
        <v>4840</v>
      </c>
      <c r="C5027" s="10" t="s">
        <v>4841</v>
      </c>
      <c r="D5027" s="10" t="s">
        <v>2127</v>
      </c>
      <c r="E5027" s="10" t="str">
        <f>"644020240512124333169181"</f>
        <v>644020240512124333169181</v>
      </c>
      <c r="F5027" s="9"/>
    </row>
    <row r="5028" s="2" customFormat="1" ht="30" customHeight="1" spans="1:6">
      <c r="A5028" s="9">
        <v>5025</v>
      </c>
      <c r="B5028" s="10" t="s">
        <v>4840</v>
      </c>
      <c r="C5028" s="10" t="s">
        <v>4841</v>
      </c>
      <c r="D5028" s="10" t="s">
        <v>4902</v>
      </c>
      <c r="E5028" s="10" t="str">
        <f>"644020240512115705168996"</f>
        <v>644020240512115705168996</v>
      </c>
      <c r="F5028" s="9"/>
    </row>
    <row r="5029" s="2" customFormat="1" ht="30" customHeight="1" spans="1:6">
      <c r="A5029" s="9">
        <v>5026</v>
      </c>
      <c r="B5029" s="10" t="s">
        <v>4840</v>
      </c>
      <c r="C5029" s="10" t="s">
        <v>4841</v>
      </c>
      <c r="D5029" s="10" t="s">
        <v>4903</v>
      </c>
      <c r="E5029" s="10" t="str">
        <f>"644020240512124943169204"</f>
        <v>644020240512124943169204</v>
      </c>
      <c r="F5029" s="9"/>
    </row>
    <row r="5030" s="2" customFormat="1" ht="30" customHeight="1" spans="1:6">
      <c r="A5030" s="9">
        <v>5027</v>
      </c>
      <c r="B5030" s="10" t="s">
        <v>4840</v>
      </c>
      <c r="C5030" s="10" t="s">
        <v>4841</v>
      </c>
      <c r="D5030" s="10" t="s">
        <v>4904</v>
      </c>
      <c r="E5030" s="10" t="str">
        <f>"644020240512095804168370"</f>
        <v>644020240512095804168370</v>
      </c>
      <c r="F5030" s="9"/>
    </row>
    <row r="5031" s="2" customFormat="1" ht="30" customHeight="1" spans="1:6">
      <c r="A5031" s="9">
        <v>5028</v>
      </c>
      <c r="B5031" s="10" t="s">
        <v>4840</v>
      </c>
      <c r="C5031" s="10" t="s">
        <v>4841</v>
      </c>
      <c r="D5031" s="10" t="s">
        <v>4905</v>
      </c>
      <c r="E5031" s="10" t="str">
        <f>"644020240512131554169300"</f>
        <v>644020240512131554169300</v>
      </c>
      <c r="F5031" s="9"/>
    </row>
    <row r="5032" s="2" customFormat="1" ht="30" customHeight="1" spans="1:6">
      <c r="A5032" s="9">
        <v>5029</v>
      </c>
      <c r="B5032" s="10" t="s">
        <v>4840</v>
      </c>
      <c r="C5032" s="10" t="s">
        <v>4841</v>
      </c>
      <c r="D5032" s="10" t="s">
        <v>4906</v>
      </c>
      <c r="E5032" s="10" t="str">
        <f>"644020240512124233169176"</f>
        <v>644020240512124233169176</v>
      </c>
      <c r="F5032" s="9"/>
    </row>
    <row r="5033" s="2" customFormat="1" ht="30" customHeight="1" spans="1:6">
      <c r="A5033" s="9">
        <v>5030</v>
      </c>
      <c r="B5033" s="10" t="s">
        <v>4840</v>
      </c>
      <c r="C5033" s="10" t="s">
        <v>4841</v>
      </c>
      <c r="D5033" s="10" t="s">
        <v>4907</v>
      </c>
      <c r="E5033" s="10" t="str">
        <f>"644020240512110219168735"</f>
        <v>644020240512110219168735</v>
      </c>
      <c r="F5033" s="9"/>
    </row>
    <row r="5034" s="2" customFormat="1" ht="30" customHeight="1" spans="1:6">
      <c r="A5034" s="9">
        <v>5031</v>
      </c>
      <c r="B5034" s="10" t="s">
        <v>4840</v>
      </c>
      <c r="C5034" s="10" t="s">
        <v>4841</v>
      </c>
      <c r="D5034" s="10" t="s">
        <v>4908</v>
      </c>
      <c r="E5034" s="10" t="str">
        <f>"644020240512131636169305"</f>
        <v>644020240512131636169305</v>
      </c>
      <c r="F5034" s="9"/>
    </row>
    <row r="5035" s="2" customFormat="1" ht="30" customHeight="1" spans="1:6">
      <c r="A5035" s="9">
        <v>5032</v>
      </c>
      <c r="B5035" s="10" t="s">
        <v>4840</v>
      </c>
      <c r="C5035" s="10" t="s">
        <v>4841</v>
      </c>
      <c r="D5035" s="10" t="s">
        <v>4909</v>
      </c>
      <c r="E5035" s="10" t="str">
        <f>"644020240512105553168698"</f>
        <v>644020240512105553168698</v>
      </c>
      <c r="F5035" s="9"/>
    </row>
    <row r="5036" s="2" customFormat="1" ht="30" customHeight="1" spans="1:6">
      <c r="A5036" s="9">
        <v>5033</v>
      </c>
      <c r="B5036" s="10" t="s">
        <v>4840</v>
      </c>
      <c r="C5036" s="10" t="s">
        <v>4841</v>
      </c>
      <c r="D5036" s="10" t="s">
        <v>3880</v>
      </c>
      <c r="E5036" s="10" t="str">
        <f>"644020240512131035169282"</f>
        <v>644020240512131035169282</v>
      </c>
      <c r="F5036" s="9"/>
    </row>
    <row r="5037" s="2" customFormat="1" ht="30" customHeight="1" spans="1:6">
      <c r="A5037" s="9">
        <v>5034</v>
      </c>
      <c r="B5037" s="10" t="s">
        <v>4840</v>
      </c>
      <c r="C5037" s="10" t="s">
        <v>4841</v>
      </c>
      <c r="D5037" s="10" t="s">
        <v>4910</v>
      </c>
      <c r="E5037" s="10" t="str">
        <f>"644020240512134000169400"</f>
        <v>644020240512134000169400</v>
      </c>
      <c r="F5037" s="9"/>
    </row>
    <row r="5038" s="2" customFormat="1" ht="30" customHeight="1" spans="1:6">
      <c r="A5038" s="9">
        <v>5035</v>
      </c>
      <c r="B5038" s="10" t="s">
        <v>4840</v>
      </c>
      <c r="C5038" s="10" t="s">
        <v>4841</v>
      </c>
      <c r="D5038" s="10" t="s">
        <v>4911</v>
      </c>
      <c r="E5038" s="10" t="str">
        <f>"644020240512091206168157"</f>
        <v>644020240512091206168157</v>
      </c>
      <c r="F5038" s="9"/>
    </row>
    <row r="5039" s="2" customFormat="1" ht="30" customHeight="1" spans="1:6">
      <c r="A5039" s="9">
        <v>5036</v>
      </c>
      <c r="B5039" s="10" t="s">
        <v>4840</v>
      </c>
      <c r="C5039" s="10" t="s">
        <v>4841</v>
      </c>
      <c r="D5039" s="10" t="s">
        <v>4912</v>
      </c>
      <c r="E5039" s="10" t="str">
        <f>"644020240512132616169345"</f>
        <v>644020240512132616169345</v>
      </c>
      <c r="F5039" s="9"/>
    </row>
    <row r="5040" s="2" customFormat="1" ht="30" customHeight="1" spans="1:6">
      <c r="A5040" s="9">
        <v>5037</v>
      </c>
      <c r="B5040" s="10" t="s">
        <v>4840</v>
      </c>
      <c r="C5040" s="10" t="s">
        <v>4841</v>
      </c>
      <c r="D5040" s="10" t="s">
        <v>4913</v>
      </c>
      <c r="E5040" s="10" t="str">
        <f>"644020240512132740169352"</f>
        <v>644020240512132740169352</v>
      </c>
      <c r="F5040" s="9"/>
    </row>
    <row r="5041" s="2" customFormat="1" ht="30" customHeight="1" spans="1:6">
      <c r="A5041" s="9">
        <v>5038</v>
      </c>
      <c r="B5041" s="10" t="s">
        <v>4840</v>
      </c>
      <c r="C5041" s="10" t="s">
        <v>4841</v>
      </c>
      <c r="D5041" s="10" t="s">
        <v>4914</v>
      </c>
      <c r="E5041" s="10" t="str">
        <f>"644020240512131902169316"</f>
        <v>644020240512131902169316</v>
      </c>
      <c r="F5041" s="9"/>
    </row>
    <row r="5042" s="2" customFormat="1" ht="30" customHeight="1" spans="1:6">
      <c r="A5042" s="9">
        <v>5039</v>
      </c>
      <c r="B5042" s="10" t="s">
        <v>4840</v>
      </c>
      <c r="C5042" s="10" t="s">
        <v>4841</v>
      </c>
      <c r="D5042" s="10" t="s">
        <v>4915</v>
      </c>
      <c r="E5042" s="10" t="str">
        <f>"644020240512131452169297"</f>
        <v>644020240512131452169297</v>
      </c>
      <c r="F5042" s="9"/>
    </row>
    <row r="5043" s="2" customFormat="1" ht="30" customHeight="1" spans="1:6">
      <c r="A5043" s="9">
        <v>5040</v>
      </c>
      <c r="B5043" s="10" t="s">
        <v>4840</v>
      </c>
      <c r="C5043" s="10" t="s">
        <v>4841</v>
      </c>
      <c r="D5043" s="10" t="s">
        <v>4916</v>
      </c>
      <c r="E5043" s="10" t="str">
        <f>"644020240512134816169425"</f>
        <v>644020240512134816169425</v>
      </c>
      <c r="F5043" s="9"/>
    </row>
    <row r="5044" s="2" customFormat="1" ht="30" customHeight="1" spans="1:6">
      <c r="A5044" s="9">
        <v>5041</v>
      </c>
      <c r="B5044" s="10" t="s">
        <v>4840</v>
      </c>
      <c r="C5044" s="10" t="s">
        <v>4841</v>
      </c>
      <c r="D5044" s="10" t="s">
        <v>4917</v>
      </c>
      <c r="E5044" s="10" t="str">
        <f>"644020240512131438169295"</f>
        <v>644020240512131438169295</v>
      </c>
      <c r="F5044" s="9"/>
    </row>
    <row r="5045" s="2" customFormat="1" ht="30" customHeight="1" spans="1:6">
      <c r="A5045" s="9">
        <v>5042</v>
      </c>
      <c r="B5045" s="10" t="s">
        <v>4840</v>
      </c>
      <c r="C5045" s="10" t="s">
        <v>4841</v>
      </c>
      <c r="D5045" s="10" t="s">
        <v>4918</v>
      </c>
      <c r="E5045" s="10" t="str">
        <f>"644020240512092903168237"</f>
        <v>644020240512092903168237</v>
      </c>
      <c r="F5045" s="9"/>
    </row>
    <row r="5046" s="2" customFormat="1" ht="30" customHeight="1" spans="1:6">
      <c r="A5046" s="9">
        <v>5043</v>
      </c>
      <c r="B5046" s="10" t="s">
        <v>4840</v>
      </c>
      <c r="C5046" s="10" t="s">
        <v>4841</v>
      </c>
      <c r="D5046" s="10" t="s">
        <v>4919</v>
      </c>
      <c r="E5046" s="10" t="str">
        <f>"644020240512131730169310"</f>
        <v>644020240512131730169310</v>
      </c>
      <c r="F5046" s="9"/>
    </row>
    <row r="5047" s="2" customFormat="1" ht="30" customHeight="1" spans="1:6">
      <c r="A5047" s="9">
        <v>5044</v>
      </c>
      <c r="B5047" s="10" t="s">
        <v>4840</v>
      </c>
      <c r="C5047" s="10" t="s">
        <v>4841</v>
      </c>
      <c r="D5047" s="10" t="s">
        <v>4920</v>
      </c>
      <c r="E5047" s="10" t="str">
        <f>"644020240512101604168477"</f>
        <v>644020240512101604168477</v>
      </c>
      <c r="F5047" s="9"/>
    </row>
    <row r="5048" s="2" customFormat="1" ht="30" customHeight="1" spans="1:6">
      <c r="A5048" s="9">
        <v>5045</v>
      </c>
      <c r="B5048" s="10" t="s">
        <v>4840</v>
      </c>
      <c r="C5048" s="10" t="s">
        <v>4841</v>
      </c>
      <c r="D5048" s="10" t="s">
        <v>4468</v>
      </c>
      <c r="E5048" s="10" t="str">
        <f>"644020240512142411169538"</f>
        <v>644020240512142411169538</v>
      </c>
      <c r="F5048" s="9"/>
    </row>
    <row r="5049" s="2" customFormat="1" ht="30" customHeight="1" spans="1:6">
      <c r="A5049" s="9">
        <v>5046</v>
      </c>
      <c r="B5049" s="10" t="s">
        <v>4840</v>
      </c>
      <c r="C5049" s="10" t="s">
        <v>4841</v>
      </c>
      <c r="D5049" s="10" t="s">
        <v>4921</v>
      </c>
      <c r="E5049" s="10" t="str">
        <f>"644020240512142401169536"</f>
        <v>644020240512142401169536</v>
      </c>
      <c r="F5049" s="9"/>
    </row>
    <row r="5050" s="2" customFormat="1" ht="30" customHeight="1" spans="1:6">
      <c r="A5050" s="9">
        <v>5047</v>
      </c>
      <c r="B5050" s="10" t="s">
        <v>4840</v>
      </c>
      <c r="C5050" s="10" t="s">
        <v>4841</v>
      </c>
      <c r="D5050" s="10" t="s">
        <v>4922</v>
      </c>
      <c r="E5050" s="10" t="str">
        <f>"644020240512094814168314"</f>
        <v>644020240512094814168314</v>
      </c>
      <c r="F5050" s="9"/>
    </row>
    <row r="5051" s="2" customFormat="1" ht="30" customHeight="1" spans="1:6">
      <c r="A5051" s="9">
        <v>5048</v>
      </c>
      <c r="B5051" s="10" t="s">
        <v>4840</v>
      </c>
      <c r="C5051" s="10" t="s">
        <v>4841</v>
      </c>
      <c r="D5051" s="10" t="s">
        <v>4923</v>
      </c>
      <c r="E5051" s="10" t="str">
        <f>"644020240512144036169576"</f>
        <v>644020240512144036169576</v>
      </c>
      <c r="F5051" s="9"/>
    </row>
    <row r="5052" s="2" customFormat="1" ht="30" customHeight="1" spans="1:6">
      <c r="A5052" s="9">
        <v>5049</v>
      </c>
      <c r="B5052" s="10" t="s">
        <v>4840</v>
      </c>
      <c r="C5052" s="10" t="s">
        <v>4841</v>
      </c>
      <c r="D5052" s="10" t="s">
        <v>4924</v>
      </c>
      <c r="E5052" s="10" t="str">
        <f>"644020240512142142169530"</f>
        <v>644020240512142142169530</v>
      </c>
      <c r="F5052" s="9"/>
    </row>
    <row r="5053" s="2" customFormat="1" ht="30" customHeight="1" spans="1:6">
      <c r="A5053" s="9">
        <v>5050</v>
      </c>
      <c r="B5053" s="10" t="s">
        <v>4840</v>
      </c>
      <c r="C5053" s="10" t="s">
        <v>4841</v>
      </c>
      <c r="D5053" s="10" t="s">
        <v>4925</v>
      </c>
      <c r="E5053" s="10" t="str">
        <f>"644020240512143447169558"</f>
        <v>644020240512143447169558</v>
      </c>
      <c r="F5053" s="9"/>
    </row>
    <row r="5054" s="2" customFormat="1" ht="30" customHeight="1" spans="1:6">
      <c r="A5054" s="9">
        <v>5051</v>
      </c>
      <c r="B5054" s="10" t="s">
        <v>4840</v>
      </c>
      <c r="C5054" s="10" t="s">
        <v>4841</v>
      </c>
      <c r="D5054" s="10" t="s">
        <v>4926</v>
      </c>
      <c r="E5054" s="10" t="str">
        <f>"644020240512144526169590"</f>
        <v>644020240512144526169590</v>
      </c>
      <c r="F5054" s="9"/>
    </row>
    <row r="5055" s="2" customFormat="1" ht="30" customHeight="1" spans="1:6">
      <c r="A5055" s="9">
        <v>5052</v>
      </c>
      <c r="B5055" s="10" t="s">
        <v>4840</v>
      </c>
      <c r="C5055" s="10" t="s">
        <v>4841</v>
      </c>
      <c r="D5055" s="10" t="s">
        <v>4927</v>
      </c>
      <c r="E5055" s="10" t="str">
        <f>"644020240512142519169539"</f>
        <v>644020240512142519169539</v>
      </c>
      <c r="F5055" s="9"/>
    </row>
    <row r="5056" s="2" customFormat="1" ht="30" customHeight="1" spans="1:6">
      <c r="A5056" s="9">
        <v>5053</v>
      </c>
      <c r="B5056" s="10" t="s">
        <v>4840</v>
      </c>
      <c r="C5056" s="10" t="s">
        <v>4841</v>
      </c>
      <c r="D5056" s="10" t="s">
        <v>4928</v>
      </c>
      <c r="E5056" s="10" t="str">
        <f>"644020240512144920169609"</f>
        <v>644020240512144920169609</v>
      </c>
      <c r="F5056" s="9"/>
    </row>
    <row r="5057" s="2" customFormat="1" ht="30" customHeight="1" spans="1:6">
      <c r="A5057" s="9">
        <v>5054</v>
      </c>
      <c r="B5057" s="10" t="s">
        <v>4840</v>
      </c>
      <c r="C5057" s="10" t="s">
        <v>4841</v>
      </c>
      <c r="D5057" s="10" t="s">
        <v>4929</v>
      </c>
      <c r="E5057" s="10" t="str">
        <f>"644020240512114521168960"</f>
        <v>644020240512114521168960</v>
      </c>
      <c r="F5057" s="9"/>
    </row>
    <row r="5058" s="2" customFormat="1" ht="30" customHeight="1" spans="1:6">
      <c r="A5058" s="9">
        <v>5055</v>
      </c>
      <c r="B5058" s="10" t="s">
        <v>4840</v>
      </c>
      <c r="C5058" s="10" t="s">
        <v>4841</v>
      </c>
      <c r="D5058" s="10" t="s">
        <v>4930</v>
      </c>
      <c r="E5058" s="10" t="str">
        <f>"644020240512144030169574"</f>
        <v>644020240512144030169574</v>
      </c>
      <c r="F5058" s="9"/>
    </row>
    <row r="5059" s="2" customFormat="1" ht="30" customHeight="1" spans="1:6">
      <c r="A5059" s="9">
        <v>5056</v>
      </c>
      <c r="B5059" s="10" t="s">
        <v>4840</v>
      </c>
      <c r="C5059" s="10" t="s">
        <v>4841</v>
      </c>
      <c r="D5059" s="10" t="s">
        <v>4931</v>
      </c>
      <c r="E5059" s="10" t="str">
        <f>"644020240512141607169504"</f>
        <v>644020240512141607169504</v>
      </c>
      <c r="F5059" s="9"/>
    </row>
    <row r="5060" s="2" customFormat="1" ht="30" customHeight="1" spans="1:6">
      <c r="A5060" s="9">
        <v>5057</v>
      </c>
      <c r="B5060" s="10" t="s">
        <v>4840</v>
      </c>
      <c r="C5060" s="10" t="s">
        <v>4841</v>
      </c>
      <c r="D5060" s="10" t="s">
        <v>4932</v>
      </c>
      <c r="E5060" s="10" t="str">
        <f>"644020240512154422169817"</f>
        <v>644020240512154422169817</v>
      </c>
      <c r="F5060" s="9"/>
    </row>
    <row r="5061" s="2" customFormat="1" ht="30" customHeight="1" spans="1:6">
      <c r="A5061" s="9">
        <v>5058</v>
      </c>
      <c r="B5061" s="10" t="s">
        <v>4840</v>
      </c>
      <c r="C5061" s="10" t="s">
        <v>4841</v>
      </c>
      <c r="D5061" s="10" t="s">
        <v>4933</v>
      </c>
      <c r="E5061" s="10" t="str">
        <f>"644020240512155112169845"</f>
        <v>644020240512155112169845</v>
      </c>
      <c r="F5061" s="9"/>
    </row>
    <row r="5062" s="2" customFormat="1" ht="30" customHeight="1" spans="1:6">
      <c r="A5062" s="9">
        <v>5059</v>
      </c>
      <c r="B5062" s="10" t="s">
        <v>4840</v>
      </c>
      <c r="C5062" s="10" t="s">
        <v>4841</v>
      </c>
      <c r="D5062" s="10" t="s">
        <v>4934</v>
      </c>
      <c r="E5062" s="10" t="str">
        <f>"644020240512095801168369"</f>
        <v>644020240512095801168369</v>
      </c>
      <c r="F5062" s="9"/>
    </row>
    <row r="5063" s="2" customFormat="1" ht="30" customHeight="1" spans="1:6">
      <c r="A5063" s="9">
        <v>5060</v>
      </c>
      <c r="B5063" s="10" t="s">
        <v>4840</v>
      </c>
      <c r="C5063" s="10" t="s">
        <v>4841</v>
      </c>
      <c r="D5063" s="10" t="s">
        <v>4935</v>
      </c>
      <c r="E5063" s="10" t="str">
        <f>"644020240512153253169774"</f>
        <v>644020240512153253169774</v>
      </c>
      <c r="F5063" s="9"/>
    </row>
    <row r="5064" s="2" customFormat="1" ht="30" customHeight="1" spans="1:6">
      <c r="A5064" s="9">
        <v>5061</v>
      </c>
      <c r="B5064" s="10" t="s">
        <v>4840</v>
      </c>
      <c r="C5064" s="10" t="s">
        <v>4841</v>
      </c>
      <c r="D5064" s="10" t="s">
        <v>1660</v>
      </c>
      <c r="E5064" s="10" t="str">
        <f>"644020240512125128169210"</f>
        <v>644020240512125128169210</v>
      </c>
      <c r="F5064" s="9"/>
    </row>
    <row r="5065" s="2" customFormat="1" ht="30" customHeight="1" spans="1:6">
      <c r="A5065" s="9">
        <v>5062</v>
      </c>
      <c r="B5065" s="10" t="s">
        <v>4840</v>
      </c>
      <c r="C5065" s="10" t="s">
        <v>4841</v>
      </c>
      <c r="D5065" s="10" t="s">
        <v>4936</v>
      </c>
      <c r="E5065" s="10" t="str">
        <f>"644020240512160818169909"</f>
        <v>644020240512160818169909</v>
      </c>
      <c r="F5065" s="9"/>
    </row>
    <row r="5066" s="2" customFormat="1" ht="30" customHeight="1" spans="1:6">
      <c r="A5066" s="9">
        <v>5063</v>
      </c>
      <c r="B5066" s="10" t="s">
        <v>4840</v>
      </c>
      <c r="C5066" s="10" t="s">
        <v>4841</v>
      </c>
      <c r="D5066" s="10" t="s">
        <v>4937</v>
      </c>
      <c r="E5066" s="10" t="str">
        <f>"644020240512162439169981"</f>
        <v>644020240512162439169981</v>
      </c>
      <c r="F5066" s="9"/>
    </row>
    <row r="5067" s="2" customFormat="1" ht="30" customHeight="1" spans="1:6">
      <c r="A5067" s="9">
        <v>5064</v>
      </c>
      <c r="B5067" s="10" t="s">
        <v>4840</v>
      </c>
      <c r="C5067" s="10" t="s">
        <v>4841</v>
      </c>
      <c r="D5067" s="10" t="s">
        <v>4938</v>
      </c>
      <c r="E5067" s="10" t="str">
        <f>"644020240512161305169931"</f>
        <v>644020240512161305169931</v>
      </c>
      <c r="F5067" s="9"/>
    </row>
    <row r="5068" s="2" customFormat="1" ht="30" customHeight="1" spans="1:6">
      <c r="A5068" s="9">
        <v>5065</v>
      </c>
      <c r="B5068" s="10" t="s">
        <v>4840</v>
      </c>
      <c r="C5068" s="10" t="s">
        <v>4841</v>
      </c>
      <c r="D5068" s="10" t="s">
        <v>4939</v>
      </c>
      <c r="E5068" s="10" t="str">
        <f>"644020240512155826169871"</f>
        <v>644020240512155826169871</v>
      </c>
      <c r="F5068" s="9"/>
    </row>
    <row r="5069" s="2" customFormat="1" ht="30" customHeight="1" spans="1:6">
      <c r="A5069" s="9">
        <v>5066</v>
      </c>
      <c r="B5069" s="10" t="s">
        <v>4840</v>
      </c>
      <c r="C5069" s="10" t="s">
        <v>4841</v>
      </c>
      <c r="D5069" s="10" t="s">
        <v>4940</v>
      </c>
      <c r="E5069" s="10" t="str">
        <f>"644020240512162911169996"</f>
        <v>644020240512162911169996</v>
      </c>
      <c r="F5069" s="9"/>
    </row>
    <row r="5070" s="2" customFormat="1" ht="30" customHeight="1" spans="1:6">
      <c r="A5070" s="9">
        <v>5067</v>
      </c>
      <c r="B5070" s="10" t="s">
        <v>4840</v>
      </c>
      <c r="C5070" s="10" t="s">
        <v>4841</v>
      </c>
      <c r="D5070" s="10" t="s">
        <v>4941</v>
      </c>
      <c r="E5070" s="10" t="str">
        <f>"644020240512154353169813"</f>
        <v>644020240512154353169813</v>
      </c>
      <c r="F5070" s="9"/>
    </row>
    <row r="5071" s="2" customFormat="1" ht="30" customHeight="1" spans="1:6">
      <c r="A5071" s="9">
        <v>5068</v>
      </c>
      <c r="B5071" s="10" t="s">
        <v>4840</v>
      </c>
      <c r="C5071" s="10" t="s">
        <v>4841</v>
      </c>
      <c r="D5071" s="10" t="s">
        <v>4942</v>
      </c>
      <c r="E5071" s="10" t="str">
        <f>"644020240512152043169731"</f>
        <v>644020240512152043169731</v>
      </c>
      <c r="F5071" s="9"/>
    </row>
    <row r="5072" s="2" customFormat="1" ht="30" customHeight="1" spans="1:6">
      <c r="A5072" s="9">
        <v>5069</v>
      </c>
      <c r="B5072" s="10" t="s">
        <v>4840</v>
      </c>
      <c r="C5072" s="10" t="s">
        <v>4841</v>
      </c>
      <c r="D5072" s="10" t="s">
        <v>4943</v>
      </c>
      <c r="E5072" s="10" t="str">
        <f>"644020240512142602169541"</f>
        <v>644020240512142602169541</v>
      </c>
      <c r="F5072" s="9"/>
    </row>
    <row r="5073" s="2" customFormat="1" ht="30" customHeight="1" spans="1:6">
      <c r="A5073" s="9">
        <v>5070</v>
      </c>
      <c r="B5073" s="10" t="s">
        <v>4840</v>
      </c>
      <c r="C5073" s="10" t="s">
        <v>4841</v>
      </c>
      <c r="D5073" s="10" t="s">
        <v>4944</v>
      </c>
      <c r="E5073" s="10" t="str">
        <f>"644020240512144259169582"</f>
        <v>644020240512144259169582</v>
      </c>
      <c r="F5073" s="9"/>
    </row>
    <row r="5074" s="2" customFormat="1" ht="30" customHeight="1" spans="1:6">
      <c r="A5074" s="9">
        <v>5071</v>
      </c>
      <c r="B5074" s="10" t="s">
        <v>4840</v>
      </c>
      <c r="C5074" s="10" t="s">
        <v>4841</v>
      </c>
      <c r="D5074" s="10" t="s">
        <v>2341</v>
      </c>
      <c r="E5074" s="10" t="str">
        <f>"644020240512170344170123"</f>
        <v>644020240512170344170123</v>
      </c>
      <c r="F5074" s="9"/>
    </row>
    <row r="5075" s="2" customFormat="1" ht="30" customHeight="1" spans="1:6">
      <c r="A5075" s="9">
        <v>5072</v>
      </c>
      <c r="B5075" s="10" t="s">
        <v>4840</v>
      </c>
      <c r="C5075" s="10" t="s">
        <v>4841</v>
      </c>
      <c r="D5075" s="10" t="s">
        <v>4945</v>
      </c>
      <c r="E5075" s="10" t="str">
        <f>"644020240512170021170107"</f>
        <v>644020240512170021170107</v>
      </c>
      <c r="F5075" s="9"/>
    </row>
    <row r="5076" s="2" customFormat="1" ht="30" customHeight="1" spans="1:6">
      <c r="A5076" s="9">
        <v>5073</v>
      </c>
      <c r="B5076" s="10" t="s">
        <v>4840</v>
      </c>
      <c r="C5076" s="10" t="s">
        <v>4841</v>
      </c>
      <c r="D5076" s="10" t="s">
        <v>4946</v>
      </c>
      <c r="E5076" s="10" t="str">
        <f>"644020240512112105168842"</f>
        <v>644020240512112105168842</v>
      </c>
      <c r="F5076" s="9"/>
    </row>
    <row r="5077" s="2" customFormat="1" ht="30" customHeight="1" spans="1:6">
      <c r="A5077" s="9">
        <v>5074</v>
      </c>
      <c r="B5077" s="10" t="s">
        <v>4840</v>
      </c>
      <c r="C5077" s="10" t="s">
        <v>4841</v>
      </c>
      <c r="D5077" s="10" t="s">
        <v>4947</v>
      </c>
      <c r="E5077" s="10" t="str">
        <f>"644020240512170051170114"</f>
        <v>644020240512170051170114</v>
      </c>
      <c r="F5077" s="9"/>
    </row>
    <row r="5078" s="2" customFormat="1" ht="30" customHeight="1" spans="1:6">
      <c r="A5078" s="9">
        <v>5075</v>
      </c>
      <c r="B5078" s="10" t="s">
        <v>4840</v>
      </c>
      <c r="C5078" s="10" t="s">
        <v>4841</v>
      </c>
      <c r="D5078" s="10" t="s">
        <v>4948</v>
      </c>
      <c r="E5078" s="10" t="str">
        <f>"644020240512153737169792"</f>
        <v>644020240512153737169792</v>
      </c>
      <c r="F5078" s="9"/>
    </row>
    <row r="5079" s="2" customFormat="1" ht="30" customHeight="1" spans="1:6">
      <c r="A5079" s="9">
        <v>5076</v>
      </c>
      <c r="B5079" s="10" t="s">
        <v>4840</v>
      </c>
      <c r="C5079" s="10" t="s">
        <v>4841</v>
      </c>
      <c r="D5079" s="10" t="s">
        <v>4949</v>
      </c>
      <c r="E5079" s="10" t="str">
        <f>"644020240512173103170217"</f>
        <v>644020240512173103170217</v>
      </c>
      <c r="F5079" s="9"/>
    </row>
    <row r="5080" s="2" customFormat="1" ht="30" customHeight="1" spans="1:6">
      <c r="A5080" s="9">
        <v>5077</v>
      </c>
      <c r="B5080" s="10" t="s">
        <v>4840</v>
      </c>
      <c r="C5080" s="10" t="s">
        <v>4841</v>
      </c>
      <c r="D5080" s="10" t="s">
        <v>4950</v>
      </c>
      <c r="E5080" s="10" t="str">
        <f>"644020240512125203169212"</f>
        <v>644020240512125203169212</v>
      </c>
      <c r="F5080" s="9"/>
    </row>
    <row r="5081" s="2" customFormat="1" ht="30" customHeight="1" spans="1:6">
      <c r="A5081" s="9">
        <v>5078</v>
      </c>
      <c r="B5081" s="10" t="s">
        <v>4840</v>
      </c>
      <c r="C5081" s="10" t="s">
        <v>4841</v>
      </c>
      <c r="D5081" s="10" t="s">
        <v>655</v>
      </c>
      <c r="E5081" s="10" t="str">
        <f>"644020240512173948170246"</f>
        <v>644020240512173948170246</v>
      </c>
      <c r="F5081" s="9"/>
    </row>
    <row r="5082" s="2" customFormat="1" ht="30" customHeight="1" spans="1:6">
      <c r="A5082" s="9">
        <v>5079</v>
      </c>
      <c r="B5082" s="10" t="s">
        <v>4840</v>
      </c>
      <c r="C5082" s="10" t="s">
        <v>4841</v>
      </c>
      <c r="D5082" s="10" t="s">
        <v>4951</v>
      </c>
      <c r="E5082" s="10" t="str">
        <f>"644020240512173506170232"</f>
        <v>644020240512173506170232</v>
      </c>
      <c r="F5082" s="9"/>
    </row>
    <row r="5083" s="2" customFormat="1" ht="30" customHeight="1" spans="1:6">
      <c r="A5083" s="9">
        <v>5080</v>
      </c>
      <c r="B5083" s="10" t="s">
        <v>4840</v>
      </c>
      <c r="C5083" s="10" t="s">
        <v>4841</v>
      </c>
      <c r="D5083" s="10" t="s">
        <v>4952</v>
      </c>
      <c r="E5083" s="10" t="str">
        <f>"644020240512175729170297"</f>
        <v>644020240512175729170297</v>
      </c>
      <c r="F5083" s="9"/>
    </row>
    <row r="5084" s="2" customFormat="1" ht="30" customHeight="1" spans="1:6">
      <c r="A5084" s="9">
        <v>5081</v>
      </c>
      <c r="B5084" s="10" t="s">
        <v>4840</v>
      </c>
      <c r="C5084" s="10" t="s">
        <v>4841</v>
      </c>
      <c r="D5084" s="10" t="s">
        <v>4953</v>
      </c>
      <c r="E5084" s="10" t="str">
        <f>"644020240512163919170037"</f>
        <v>644020240512163919170037</v>
      </c>
      <c r="F5084" s="9"/>
    </row>
    <row r="5085" s="2" customFormat="1" ht="30" customHeight="1" spans="1:6">
      <c r="A5085" s="9">
        <v>5082</v>
      </c>
      <c r="B5085" s="10" t="s">
        <v>4840</v>
      </c>
      <c r="C5085" s="10" t="s">
        <v>4841</v>
      </c>
      <c r="D5085" s="10" t="s">
        <v>4954</v>
      </c>
      <c r="E5085" s="10" t="str">
        <f>"644020240512175900170308"</f>
        <v>644020240512175900170308</v>
      </c>
      <c r="F5085" s="9"/>
    </row>
    <row r="5086" s="2" customFormat="1" ht="30" customHeight="1" spans="1:6">
      <c r="A5086" s="9">
        <v>5083</v>
      </c>
      <c r="B5086" s="10" t="s">
        <v>4840</v>
      </c>
      <c r="C5086" s="10" t="s">
        <v>4841</v>
      </c>
      <c r="D5086" s="10" t="s">
        <v>4955</v>
      </c>
      <c r="E5086" s="10" t="str">
        <f>"644020240512175654170296"</f>
        <v>644020240512175654170296</v>
      </c>
      <c r="F5086" s="9"/>
    </row>
    <row r="5087" s="2" customFormat="1" ht="30" customHeight="1" spans="1:6">
      <c r="A5087" s="9">
        <v>5084</v>
      </c>
      <c r="B5087" s="10" t="s">
        <v>4840</v>
      </c>
      <c r="C5087" s="10" t="s">
        <v>4841</v>
      </c>
      <c r="D5087" s="10" t="s">
        <v>4956</v>
      </c>
      <c r="E5087" s="10" t="str">
        <f>"644020240512180018170312"</f>
        <v>644020240512180018170312</v>
      </c>
      <c r="F5087" s="9"/>
    </row>
    <row r="5088" s="2" customFormat="1" ht="30" customHeight="1" spans="1:6">
      <c r="A5088" s="9">
        <v>5085</v>
      </c>
      <c r="B5088" s="10" t="s">
        <v>4840</v>
      </c>
      <c r="C5088" s="10" t="s">
        <v>4841</v>
      </c>
      <c r="D5088" s="10" t="s">
        <v>4957</v>
      </c>
      <c r="E5088" s="10" t="str">
        <f>"644020240512180554170327"</f>
        <v>644020240512180554170327</v>
      </c>
      <c r="F5088" s="9"/>
    </row>
    <row r="5089" s="2" customFormat="1" ht="30" customHeight="1" spans="1:6">
      <c r="A5089" s="9">
        <v>5086</v>
      </c>
      <c r="B5089" s="10" t="s">
        <v>4840</v>
      </c>
      <c r="C5089" s="10" t="s">
        <v>4841</v>
      </c>
      <c r="D5089" s="10" t="s">
        <v>4958</v>
      </c>
      <c r="E5089" s="10" t="str">
        <f>"644020240512182334170372"</f>
        <v>644020240512182334170372</v>
      </c>
      <c r="F5089" s="9"/>
    </row>
    <row r="5090" s="2" customFormat="1" ht="30" customHeight="1" spans="1:6">
      <c r="A5090" s="9">
        <v>5087</v>
      </c>
      <c r="B5090" s="10" t="s">
        <v>4840</v>
      </c>
      <c r="C5090" s="10" t="s">
        <v>4841</v>
      </c>
      <c r="D5090" s="10" t="s">
        <v>4959</v>
      </c>
      <c r="E5090" s="10" t="str">
        <f>"644020240512181928170356"</f>
        <v>644020240512181928170356</v>
      </c>
      <c r="F5090" s="9"/>
    </row>
    <row r="5091" s="2" customFormat="1" ht="30" customHeight="1" spans="1:6">
      <c r="A5091" s="9">
        <v>5088</v>
      </c>
      <c r="B5091" s="10" t="s">
        <v>4840</v>
      </c>
      <c r="C5091" s="10" t="s">
        <v>4841</v>
      </c>
      <c r="D5091" s="10" t="s">
        <v>4960</v>
      </c>
      <c r="E5091" s="10" t="str">
        <f>"644020240512121924169083"</f>
        <v>644020240512121924169083</v>
      </c>
      <c r="F5091" s="9"/>
    </row>
    <row r="5092" s="2" customFormat="1" ht="30" customHeight="1" spans="1:6">
      <c r="A5092" s="9">
        <v>5089</v>
      </c>
      <c r="B5092" s="10" t="s">
        <v>4840</v>
      </c>
      <c r="C5092" s="10" t="s">
        <v>4841</v>
      </c>
      <c r="D5092" s="10" t="s">
        <v>4961</v>
      </c>
      <c r="E5092" s="10" t="str">
        <f>"644020240512182425170377"</f>
        <v>644020240512182425170377</v>
      </c>
      <c r="F5092" s="9"/>
    </row>
    <row r="5093" s="2" customFormat="1" ht="30" customHeight="1" spans="1:6">
      <c r="A5093" s="9">
        <v>5090</v>
      </c>
      <c r="B5093" s="10" t="s">
        <v>4840</v>
      </c>
      <c r="C5093" s="10" t="s">
        <v>4841</v>
      </c>
      <c r="D5093" s="10" t="s">
        <v>4962</v>
      </c>
      <c r="E5093" s="10" t="str">
        <f>"644020240512184532170462"</f>
        <v>644020240512184532170462</v>
      </c>
      <c r="F5093" s="9"/>
    </row>
    <row r="5094" s="2" customFormat="1" ht="30" customHeight="1" spans="1:6">
      <c r="A5094" s="9">
        <v>5091</v>
      </c>
      <c r="B5094" s="10" t="s">
        <v>4840</v>
      </c>
      <c r="C5094" s="10" t="s">
        <v>4841</v>
      </c>
      <c r="D5094" s="10" t="s">
        <v>4963</v>
      </c>
      <c r="E5094" s="10" t="str">
        <f>"644020240512184146170444"</f>
        <v>644020240512184146170444</v>
      </c>
      <c r="F5094" s="9"/>
    </row>
    <row r="5095" s="2" customFormat="1" ht="30" customHeight="1" spans="1:6">
      <c r="A5095" s="9">
        <v>5092</v>
      </c>
      <c r="B5095" s="10" t="s">
        <v>4840</v>
      </c>
      <c r="C5095" s="10" t="s">
        <v>4841</v>
      </c>
      <c r="D5095" s="10" t="s">
        <v>4964</v>
      </c>
      <c r="E5095" s="10" t="str">
        <f>"644020240512183759170427"</f>
        <v>644020240512183759170427</v>
      </c>
      <c r="F5095" s="9"/>
    </row>
    <row r="5096" s="2" customFormat="1" ht="30" customHeight="1" spans="1:6">
      <c r="A5096" s="9">
        <v>5093</v>
      </c>
      <c r="B5096" s="10" t="s">
        <v>4840</v>
      </c>
      <c r="C5096" s="10" t="s">
        <v>4841</v>
      </c>
      <c r="D5096" s="10" t="s">
        <v>4965</v>
      </c>
      <c r="E5096" s="10" t="str">
        <f>"644020240512185221170485"</f>
        <v>644020240512185221170485</v>
      </c>
      <c r="F5096" s="9"/>
    </row>
    <row r="5097" s="2" customFormat="1" ht="30" customHeight="1" spans="1:6">
      <c r="A5097" s="9">
        <v>5094</v>
      </c>
      <c r="B5097" s="10" t="s">
        <v>4840</v>
      </c>
      <c r="C5097" s="10" t="s">
        <v>4841</v>
      </c>
      <c r="D5097" s="10" t="s">
        <v>4966</v>
      </c>
      <c r="E5097" s="10" t="str">
        <f>"644020240512185132170482"</f>
        <v>644020240512185132170482</v>
      </c>
      <c r="F5097" s="9"/>
    </row>
    <row r="5098" s="2" customFormat="1" ht="30" customHeight="1" spans="1:6">
      <c r="A5098" s="9">
        <v>5095</v>
      </c>
      <c r="B5098" s="10" t="s">
        <v>4840</v>
      </c>
      <c r="C5098" s="10" t="s">
        <v>4841</v>
      </c>
      <c r="D5098" s="10" t="s">
        <v>4967</v>
      </c>
      <c r="E5098" s="10" t="str">
        <f>"644020240512190410170522"</f>
        <v>644020240512190410170522</v>
      </c>
      <c r="F5098" s="9"/>
    </row>
    <row r="5099" s="2" customFormat="1" ht="30" customHeight="1" spans="1:6">
      <c r="A5099" s="9">
        <v>5096</v>
      </c>
      <c r="B5099" s="10" t="s">
        <v>4840</v>
      </c>
      <c r="C5099" s="10" t="s">
        <v>4841</v>
      </c>
      <c r="D5099" s="10" t="s">
        <v>4968</v>
      </c>
      <c r="E5099" s="10" t="str">
        <f>"644020240512182733170390"</f>
        <v>644020240512182733170390</v>
      </c>
      <c r="F5099" s="9"/>
    </row>
    <row r="5100" s="2" customFormat="1" ht="30" customHeight="1" spans="1:6">
      <c r="A5100" s="9">
        <v>5097</v>
      </c>
      <c r="B5100" s="10" t="s">
        <v>4840</v>
      </c>
      <c r="C5100" s="10" t="s">
        <v>4841</v>
      </c>
      <c r="D5100" s="10" t="s">
        <v>4969</v>
      </c>
      <c r="E5100" s="10" t="str">
        <f>"644020240512185753170505"</f>
        <v>644020240512185753170505</v>
      </c>
      <c r="F5100" s="9"/>
    </row>
    <row r="5101" s="2" customFormat="1" ht="30" customHeight="1" spans="1:6">
      <c r="A5101" s="9">
        <v>5098</v>
      </c>
      <c r="B5101" s="10" t="s">
        <v>4840</v>
      </c>
      <c r="C5101" s="10" t="s">
        <v>4841</v>
      </c>
      <c r="D5101" s="10" t="s">
        <v>4970</v>
      </c>
      <c r="E5101" s="10" t="str">
        <f>"644020240512132042169323"</f>
        <v>644020240512132042169323</v>
      </c>
      <c r="F5101" s="9"/>
    </row>
    <row r="5102" s="2" customFormat="1" ht="30" customHeight="1" spans="1:6">
      <c r="A5102" s="9">
        <v>5099</v>
      </c>
      <c r="B5102" s="10" t="s">
        <v>4840</v>
      </c>
      <c r="C5102" s="10" t="s">
        <v>4841</v>
      </c>
      <c r="D5102" s="10" t="s">
        <v>4971</v>
      </c>
      <c r="E5102" s="10" t="str">
        <f>"644020240512180006170311"</f>
        <v>644020240512180006170311</v>
      </c>
      <c r="F5102" s="9"/>
    </row>
    <row r="5103" s="2" customFormat="1" ht="30" customHeight="1" spans="1:6">
      <c r="A5103" s="9">
        <v>5100</v>
      </c>
      <c r="B5103" s="10" t="s">
        <v>4840</v>
      </c>
      <c r="C5103" s="10" t="s">
        <v>4841</v>
      </c>
      <c r="D5103" s="10" t="s">
        <v>4972</v>
      </c>
      <c r="E5103" s="10" t="str">
        <f>"644020240512192806170599"</f>
        <v>644020240512192806170599</v>
      </c>
      <c r="F5103" s="9"/>
    </row>
    <row r="5104" s="2" customFormat="1" ht="30" customHeight="1" spans="1:6">
      <c r="A5104" s="9">
        <v>5101</v>
      </c>
      <c r="B5104" s="10" t="s">
        <v>4840</v>
      </c>
      <c r="C5104" s="10" t="s">
        <v>4841</v>
      </c>
      <c r="D5104" s="10" t="s">
        <v>4973</v>
      </c>
      <c r="E5104" s="10" t="str">
        <f>"644020240512184204170446"</f>
        <v>644020240512184204170446</v>
      </c>
      <c r="F5104" s="9"/>
    </row>
    <row r="5105" s="2" customFormat="1" ht="30" customHeight="1" spans="1:6">
      <c r="A5105" s="9">
        <v>5102</v>
      </c>
      <c r="B5105" s="10" t="s">
        <v>4840</v>
      </c>
      <c r="C5105" s="10" t="s">
        <v>4841</v>
      </c>
      <c r="D5105" s="10" t="s">
        <v>3526</v>
      </c>
      <c r="E5105" s="10" t="str">
        <f>"644020240512192837170601"</f>
        <v>644020240512192837170601</v>
      </c>
      <c r="F5105" s="9"/>
    </row>
    <row r="5106" s="2" customFormat="1" ht="30" customHeight="1" spans="1:6">
      <c r="A5106" s="9">
        <v>5103</v>
      </c>
      <c r="B5106" s="10" t="s">
        <v>4840</v>
      </c>
      <c r="C5106" s="10" t="s">
        <v>4841</v>
      </c>
      <c r="D5106" s="10" t="s">
        <v>4974</v>
      </c>
      <c r="E5106" s="10" t="str">
        <f>"644020240512192105170572"</f>
        <v>644020240512192105170572</v>
      </c>
      <c r="F5106" s="9"/>
    </row>
    <row r="5107" s="2" customFormat="1" ht="30" customHeight="1" spans="1:6">
      <c r="A5107" s="9">
        <v>5104</v>
      </c>
      <c r="B5107" s="10" t="s">
        <v>4840</v>
      </c>
      <c r="C5107" s="10" t="s">
        <v>4841</v>
      </c>
      <c r="D5107" s="10" t="s">
        <v>4975</v>
      </c>
      <c r="E5107" s="10" t="str">
        <f>"644020240512185759170506"</f>
        <v>644020240512185759170506</v>
      </c>
      <c r="F5107" s="9"/>
    </row>
    <row r="5108" s="2" customFormat="1" ht="30" customHeight="1" spans="1:6">
      <c r="A5108" s="9">
        <v>5105</v>
      </c>
      <c r="B5108" s="10" t="s">
        <v>4840</v>
      </c>
      <c r="C5108" s="10" t="s">
        <v>4841</v>
      </c>
      <c r="D5108" s="10" t="s">
        <v>4976</v>
      </c>
      <c r="E5108" s="10" t="str">
        <f>"644020240512195241170681"</f>
        <v>644020240512195241170681</v>
      </c>
      <c r="F5108" s="9"/>
    </row>
    <row r="5109" s="2" customFormat="1" ht="30" customHeight="1" spans="1:6">
      <c r="A5109" s="9">
        <v>5106</v>
      </c>
      <c r="B5109" s="10" t="s">
        <v>4840</v>
      </c>
      <c r="C5109" s="10" t="s">
        <v>4841</v>
      </c>
      <c r="D5109" s="10" t="s">
        <v>4977</v>
      </c>
      <c r="E5109" s="10" t="str">
        <f>"644020240512111318168790"</f>
        <v>644020240512111318168790</v>
      </c>
      <c r="F5109" s="9"/>
    </row>
    <row r="5110" s="2" customFormat="1" ht="30" customHeight="1" spans="1:6">
      <c r="A5110" s="9">
        <v>5107</v>
      </c>
      <c r="B5110" s="10" t="s">
        <v>4840</v>
      </c>
      <c r="C5110" s="10" t="s">
        <v>4841</v>
      </c>
      <c r="D5110" s="10" t="s">
        <v>4978</v>
      </c>
      <c r="E5110" s="10" t="str">
        <f>"644020240512195639170700"</f>
        <v>644020240512195639170700</v>
      </c>
      <c r="F5110" s="9"/>
    </row>
    <row r="5111" s="2" customFormat="1" ht="30" customHeight="1" spans="1:6">
      <c r="A5111" s="9">
        <v>5108</v>
      </c>
      <c r="B5111" s="10" t="s">
        <v>4840</v>
      </c>
      <c r="C5111" s="10" t="s">
        <v>4841</v>
      </c>
      <c r="D5111" s="10" t="s">
        <v>4979</v>
      </c>
      <c r="E5111" s="10" t="str">
        <f>"644020240512201351170767"</f>
        <v>644020240512201351170767</v>
      </c>
      <c r="F5111" s="9"/>
    </row>
    <row r="5112" s="2" customFormat="1" ht="30" customHeight="1" spans="1:6">
      <c r="A5112" s="9">
        <v>5109</v>
      </c>
      <c r="B5112" s="10" t="s">
        <v>4840</v>
      </c>
      <c r="C5112" s="10" t="s">
        <v>4841</v>
      </c>
      <c r="D5112" s="10" t="s">
        <v>4980</v>
      </c>
      <c r="E5112" s="10" t="str">
        <f>"644020240512202851170834"</f>
        <v>644020240512202851170834</v>
      </c>
      <c r="F5112" s="9"/>
    </row>
    <row r="5113" s="2" customFormat="1" ht="30" customHeight="1" spans="1:6">
      <c r="A5113" s="9">
        <v>5110</v>
      </c>
      <c r="B5113" s="10" t="s">
        <v>4840</v>
      </c>
      <c r="C5113" s="10" t="s">
        <v>4841</v>
      </c>
      <c r="D5113" s="10" t="s">
        <v>4981</v>
      </c>
      <c r="E5113" s="10" t="str">
        <f>"644020240512171943170177"</f>
        <v>644020240512171943170177</v>
      </c>
      <c r="F5113" s="9"/>
    </row>
    <row r="5114" s="2" customFormat="1" ht="30" customHeight="1" spans="1:6">
      <c r="A5114" s="9">
        <v>5111</v>
      </c>
      <c r="B5114" s="10" t="s">
        <v>4840</v>
      </c>
      <c r="C5114" s="10" t="s">
        <v>4841</v>
      </c>
      <c r="D5114" s="10" t="s">
        <v>4982</v>
      </c>
      <c r="E5114" s="10" t="str">
        <f>"644020240512204326170903"</f>
        <v>644020240512204326170903</v>
      </c>
      <c r="F5114" s="9"/>
    </row>
    <row r="5115" s="2" customFormat="1" ht="30" customHeight="1" spans="1:6">
      <c r="A5115" s="9">
        <v>5112</v>
      </c>
      <c r="B5115" s="10" t="s">
        <v>4840</v>
      </c>
      <c r="C5115" s="10" t="s">
        <v>4841</v>
      </c>
      <c r="D5115" s="10" t="s">
        <v>4983</v>
      </c>
      <c r="E5115" s="10" t="str">
        <f>"644020240512203129170841"</f>
        <v>644020240512203129170841</v>
      </c>
      <c r="F5115" s="9"/>
    </row>
    <row r="5116" s="2" customFormat="1" ht="30" customHeight="1" spans="1:6">
      <c r="A5116" s="9">
        <v>5113</v>
      </c>
      <c r="B5116" s="10" t="s">
        <v>4840</v>
      </c>
      <c r="C5116" s="10" t="s">
        <v>4841</v>
      </c>
      <c r="D5116" s="10" t="s">
        <v>4984</v>
      </c>
      <c r="E5116" s="10" t="str">
        <f>"644020240512145543169635"</f>
        <v>644020240512145543169635</v>
      </c>
      <c r="F5116" s="9"/>
    </row>
    <row r="5117" s="2" customFormat="1" ht="30" customHeight="1" spans="1:6">
      <c r="A5117" s="9">
        <v>5114</v>
      </c>
      <c r="B5117" s="10" t="s">
        <v>4840</v>
      </c>
      <c r="C5117" s="10" t="s">
        <v>4841</v>
      </c>
      <c r="D5117" s="10" t="s">
        <v>4985</v>
      </c>
      <c r="E5117" s="10" t="str">
        <f>"644020240512195644170701"</f>
        <v>644020240512195644170701</v>
      </c>
      <c r="F5117" s="9"/>
    </row>
    <row r="5118" s="2" customFormat="1" ht="30" customHeight="1" spans="1:6">
      <c r="A5118" s="9">
        <v>5115</v>
      </c>
      <c r="B5118" s="10" t="s">
        <v>4840</v>
      </c>
      <c r="C5118" s="10" t="s">
        <v>4841</v>
      </c>
      <c r="D5118" s="10" t="s">
        <v>4986</v>
      </c>
      <c r="E5118" s="10" t="str">
        <f>"644020240512194235170645"</f>
        <v>644020240512194235170645</v>
      </c>
      <c r="F5118" s="9"/>
    </row>
    <row r="5119" s="2" customFormat="1" ht="30" customHeight="1" spans="1:6">
      <c r="A5119" s="9">
        <v>5116</v>
      </c>
      <c r="B5119" s="10" t="s">
        <v>4840</v>
      </c>
      <c r="C5119" s="10" t="s">
        <v>4841</v>
      </c>
      <c r="D5119" s="10" t="s">
        <v>4987</v>
      </c>
      <c r="E5119" s="10" t="str">
        <f>"644020240512091706168182"</f>
        <v>644020240512091706168182</v>
      </c>
      <c r="F5119" s="9"/>
    </row>
    <row r="5120" s="2" customFormat="1" ht="30" customHeight="1" spans="1:6">
      <c r="A5120" s="9">
        <v>5117</v>
      </c>
      <c r="B5120" s="10" t="s">
        <v>4840</v>
      </c>
      <c r="C5120" s="10" t="s">
        <v>4841</v>
      </c>
      <c r="D5120" s="10" t="s">
        <v>4988</v>
      </c>
      <c r="E5120" s="10" t="str">
        <f>"644020240512195814170703"</f>
        <v>644020240512195814170703</v>
      </c>
      <c r="F5120" s="9"/>
    </row>
    <row r="5121" s="2" customFormat="1" ht="30" customHeight="1" spans="1:6">
      <c r="A5121" s="9">
        <v>5118</v>
      </c>
      <c r="B5121" s="10" t="s">
        <v>4840</v>
      </c>
      <c r="C5121" s="10" t="s">
        <v>4841</v>
      </c>
      <c r="D5121" s="10" t="s">
        <v>4989</v>
      </c>
      <c r="E5121" s="10" t="str">
        <f>"644020240512210627171019"</f>
        <v>644020240512210627171019</v>
      </c>
      <c r="F5121" s="9"/>
    </row>
    <row r="5122" s="2" customFormat="1" ht="30" customHeight="1" spans="1:6">
      <c r="A5122" s="9">
        <v>5119</v>
      </c>
      <c r="B5122" s="10" t="s">
        <v>4840</v>
      </c>
      <c r="C5122" s="10" t="s">
        <v>4841</v>
      </c>
      <c r="D5122" s="10" t="s">
        <v>4990</v>
      </c>
      <c r="E5122" s="10" t="str">
        <f>"644020240512203439170861"</f>
        <v>644020240512203439170861</v>
      </c>
      <c r="F5122" s="9"/>
    </row>
    <row r="5123" s="2" customFormat="1" ht="30" customHeight="1" spans="1:6">
      <c r="A5123" s="9">
        <v>5120</v>
      </c>
      <c r="B5123" s="10" t="s">
        <v>4840</v>
      </c>
      <c r="C5123" s="10" t="s">
        <v>4841</v>
      </c>
      <c r="D5123" s="10" t="s">
        <v>4991</v>
      </c>
      <c r="E5123" s="10" t="str">
        <f>"644020240512210437171014"</f>
        <v>644020240512210437171014</v>
      </c>
      <c r="F5123" s="9"/>
    </row>
    <row r="5124" s="2" customFormat="1" ht="30" customHeight="1" spans="1:6">
      <c r="A5124" s="9">
        <v>5121</v>
      </c>
      <c r="B5124" s="10" t="s">
        <v>4840</v>
      </c>
      <c r="C5124" s="10" t="s">
        <v>4841</v>
      </c>
      <c r="D5124" s="10" t="s">
        <v>4992</v>
      </c>
      <c r="E5124" s="10" t="str">
        <f>"644020240512211332171063"</f>
        <v>644020240512211332171063</v>
      </c>
      <c r="F5124" s="9"/>
    </row>
    <row r="5125" s="2" customFormat="1" ht="30" customHeight="1" spans="1:6">
      <c r="A5125" s="9">
        <v>5122</v>
      </c>
      <c r="B5125" s="10" t="s">
        <v>4840</v>
      </c>
      <c r="C5125" s="10" t="s">
        <v>4841</v>
      </c>
      <c r="D5125" s="10" t="s">
        <v>4993</v>
      </c>
      <c r="E5125" s="10" t="str">
        <f>"644020240512210813171025"</f>
        <v>644020240512210813171025</v>
      </c>
      <c r="F5125" s="9"/>
    </row>
    <row r="5126" s="2" customFormat="1" ht="30" customHeight="1" spans="1:6">
      <c r="A5126" s="9">
        <v>5123</v>
      </c>
      <c r="B5126" s="10" t="s">
        <v>4840</v>
      </c>
      <c r="C5126" s="10" t="s">
        <v>4841</v>
      </c>
      <c r="D5126" s="10" t="s">
        <v>4994</v>
      </c>
      <c r="E5126" s="10" t="str">
        <f>"644020240512211325171060"</f>
        <v>644020240512211325171060</v>
      </c>
      <c r="F5126" s="9"/>
    </row>
    <row r="5127" s="2" customFormat="1" ht="30" customHeight="1" spans="1:6">
      <c r="A5127" s="9">
        <v>5124</v>
      </c>
      <c r="B5127" s="10" t="s">
        <v>4840</v>
      </c>
      <c r="C5127" s="10" t="s">
        <v>4841</v>
      </c>
      <c r="D5127" s="10" t="s">
        <v>4995</v>
      </c>
      <c r="E5127" s="10" t="str">
        <f>"644020240512212013171099"</f>
        <v>644020240512212013171099</v>
      </c>
      <c r="F5127" s="9"/>
    </row>
    <row r="5128" s="2" customFormat="1" ht="30" customHeight="1" spans="1:6">
      <c r="A5128" s="9">
        <v>5125</v>
      </c>
      <c r="B5128" s="10" t="s">
        <v>4840</v>
      </c>
      <c r="C5128" s="10" t="s">
        <v>4841</v>
      </c>
      <c r="D5128" s="10" t="s">
        <v>4996</v>
      </c>
      <c r="E5128" s="10" t="str">
        <f>"644020240512211641171079"</f>
        <v>644020240512211641171079</v>
      </c>
      <c r="F5128" s="9"/>
    </row>
    <row r="5129" s="2" customFormat="1" ht="30" customHeight="1" spans="1:6">
      <c r="A5129" s="9">
        <v>5126</v>
      </c>
      <c r="B5129" s="10" t="s">
        <v>4840</v>
      </c>
      <c r="C5129" s="10" t="s">
        <v>4841</v>
      </c>
      <c r="D5129" s="10" t="s">
        <v>4997</v>
      </c>
      <c r="E5129" s="10" t="str">
        <f>"644020240512212007171097"</f>
        <v>644020240512212007171097</v>
      </c>
      <c r="F5129" s="9"/>
    </row>
    <row r="5130" s="2" customFormat="1" ht="30" customHeight="1" spans="1:6">
      <c r="A5130" s="9">
        <v>5127</v>
      </c>
      <c r="B5130" s="10" t="s">
        <v>4840</v>
      </c>
      <c r="C5130" s="10" t="s">
        <v>4841</v>
      </c>
      <c r="D5130" s="10" t="s">
        <v>4998</v>
      </c>
      <c r="E5130" s="10" t="str">
        <f>"644020240512212709171139"</f>
        <v>644020240512212709171139</v>
      </c>
      <c r="F5130" s="9"/>
    </row>
    <row r="5131" s="2" customFormat="1" ht="30" customHeight="1" spans="1:6">
      <c r="A5131" s="9">
        <v>5128</v>
      </c>
      <c r="B5131" s="10" t="s">
        <v>4840</v>
      </c>
      <c r="C5131" s="10" t="s">
        <v>4841</v>
      </c>
      <c r="D5131" s="10" t="s">
        <v>4999</v>
      </c>
      <c r="E5131" s="10" t="str">
        <f>"644020240512090937168137"</f>
        <v>644020240512090937168137</v>
      </c>
      <c r="F5131" s="9"/>
    </row>
    <row r="5132" s="2" customFormat="1" ht="30" customHeight="1" spans="1:6">
      <c r="A5132" s="9">
        <v>5129</v>
      </c>
      <c r="B5132" s="10" t="s">
        <v>4840</v>
      </c>
      <c r="C5132" s="10" t="s">
        <v>4841</v>
      </c>
      <c r="D5132" s="10" t="s">
        <v>5000</v>
      </c>
      <c r="E5132" s="10" t="str">
        <f>"644020240512194013170635"</f>
        <v>644020240512194013170635</v>
      </c>
      <c r="F5132" s="9"/>
    </row>
    <row r="5133" s="2" customFormat="1" ht="30" customHeight="1" spans="1:6">
      <c r="A5133" s="9">
        <v>5130</v>
      </c>
      <c r="B5133" s="10" t="s">
        <v>4840</v>
      </c>
      <c r="C5133" s="10" t="s">
        <v>4841</v>
      </c>
      <c r="D5133" s="10" t="s">
        <v>5001</v>
      </c>
      <c r="E5133" s="10" t="str">
        <f>"644020240512214002171198"</f>
        <v>644020240512214002171198</v>
      </c>
      <c r="F5133" s="9"/>
    </row>
    <row r="5134" s="2" customFormat="1" ht="30" customHeight="1" spans="1:6">
      <c r="A5134" s="9">
        <v>5131</v>
      </c>
      <c r="B5134" s="10" t="s">
        <v>4840</v>
      </c>
      <c r="C5134" s="10" t="s">
        <v>4841</v>
      </c>
      <c r="D5134" s="10" t="s">
        <v>5002</v>
      </c>
      <c r="E5134" s="10" t="str">
        <f>"644020240512212350171116"</f>
        <v>644020240512212350171116</v>
      </c>
      <c r="F5134" s="9"/>
    </row>
    <row r="5135" s="2" customFormat="1" ht="30" customHeight="1" spans="1:6">
      <c r="A5135" s="9">
        <v>5132</v>
      </c>
      <c r="B5135" s="10" t="s">
        <v>4840</v>
      </c>
      <c r="C5135" s="10" t="s">
        <v>4841</v>
      </c>
      <c r="D5135" s="10" t="s">
        <v>5003</v>
      </c>
      <c r="E5135" s="10" t="str">
        <f>"644020240512204944170933"</f>
        <v>644020240512204944170933</v>
      </c>
      <c r="F5135" s="9"/>
    </row>
    <row r="5136" s="2" customFormat="1" ht="30" customHeight="1" spans="1:6">
      <c r="A5136" s="9">
        <v>5133</v>
      </c>
      <c r="B5136" s="10" t="s">
        <v>4840</v>
      </c>
      <c r="C5136" s="10" t="s">
        <v>4841</v>
      </c>
      <c r="D5136" s="10" t="s">
        <v>5004</v>
      </c>
      <c r="E5136" s="10" t="str">
        <f>"644020240512190959170538"</f>
        <v>644020240512190959170538</v>
      </c>
      <c r="F5136" s="9"/>
    </row>
    <row r="5137" s="2" customFormat="1" ht="30" customHeight="1" spans="1:6">
      <c r="A5137" s="9">
        <v>5134</v>
      </c>
      <c r="B5137" s="10" t="s">
        <v>4840</v>
      </c>
      <c r="C5137" s="10" t="s">
        <v>4841</v>
      </c>
      <c r="D5137" s="10" t="s">
        <v>1468</v>
      </c>
      <c r="E5137" s="10" t="str">
        <f>"644020240512214745171255"</f>
        <v>644020240512214745171255</v>
      </c>
      <c r="F5137" s="9"/>
    </row>
    <row r="5138" s="2" customFormat="1" ht="30" customHeight="1" spans="1:6">
      <c r="A5138" s="9">
        <v>5135</v>
      </c>
      <c r="B5138" s="10" t="s">
        <v>4840</v>
      </c>
      <c r="C5138" s="10" t="s">
        <v>4841</v>
      </c>
      <c r="D5138" s="10" t="s">
        <v>5005</v>
      </c>
      <c r="E5138" s="10" t="str">
        <f>"644020240512211738171082"</f>
        <v>644020240512211738171082</v>
      </c>
      <c r="F5138" s="9"/>
    </row>
    <row r="5139" s="2" customFormat="1" ht="30" customHeight="1" spans="1:6">
      <c r="A5139" s="9">
        <v>5136</v>
      </c>
      <c r="B5139" s="10" t="s">
        <v>4840</v>
      </c>
      <c r="C5139" s="10" t="s">
        <v>4841</v>
      </c>
      <c r="D5139" s="10" t="s">
        <v>5006</v>
      </c>
      <c r="E5139" s="10" t="str">
        <f>"644020240512220638171361"</f>
        <v>644020240512220638171361</v>
      </c>
      <c r="F5139" s="9"/>
    </row>
    <row r="5140" s="2" customFormat="1" ht="30" customHeight="1" spans="1:6">
      <c r="A5140" s="9">
        <v>5137</v>
      </c>
      <c r="B5140" s="10" t="s">
        <v>4840</v>
      </c>
      <c r="C5140" s="10" t="s">
        <v>4841</v>
      </c>
      <c r="D5140" s="10" t="s">
        <v>2438</v>
      </c>
      <c r="E5140" s="10" t="str">
        <f>"644020240512215313171282"</f>
        <v>644020240512215313171282</v>
      </c>
      <c r="F5140" s="9"/>
    </row>
    <row r="5141" s="2" customFormat="1" ht="30" customHeight="1" spans="1:6">
      <c r="A5141" s="9">
        <v>5138</v>
      </c>
      <c r="B5141" s="10" t="s">
        <v>4840</v>
      </c>
      <c r="C5141" s="10" t="s">
        <v>4841</v>
      </c>
      <c r="D5141" s="10" t="s">
        <v>5007</v>
      </c>
      <c r="E5141" s="10" t="str">
        <f>"644020240512215309171281"</f>
        <v>644020240512215309171281</v>
      </c>
      <c r="F5141" s="9"/>
    </row>
    <row r="5142" s="2" customFormat="1" ht="30" customHeight="1" spans="1:6">
      <c r="A5142" s="9">
        <v>5139</v>
      </c>
      <c r="B5142" s="10" t="s">
        <v>4840</v>
      </c>
      <c r="C5142" s="10" t="s">
        <v>4841</v>
      </c>
      <c r="D5142" s="10" t="s">
        <v>5008</v>
      </c>
      <c r="E5142" s="10" t="str">
        <f>"644020240512222816171489"</f>
        <v>644020240512222816171489</v>
      </c>
      <c r="F5142" s="9"/>
    </row>
    <row r="5143" s="2" customFormat="1" ht="30" customHeight="1" spans="1:6">
      <c r="A5143" s="9">
        <v>5140</v>
      </c>
      <c r="B5143" s="10" t="s">
        <v>4840</v>
      </c>
      <c r="C5143" s="10" t="s">
        <v>4841</v>
      </c>
      <c r="D5143" s="10" t="s">
        <v>5009</v>
      </c>
      <c r="E5143" s="10" t="str">
        <f>"644020240512222642171482"</f>
        <v>644020240512222642171482</v>
      </c>
      <c r="F5143" s="9"/>
    </row>
    <row r="5144" s="2" customFormat="1" ht="30" customHeight="1" spans="1:6">
      <c r="A5144" s="9">
        <v>5141</v>
      </c>
      <c r="B5144" s="10" t="s">
        <v>4840</v>
      </c>
      <c r="C5144" s="10" t="s">
        <v>4841</v>
      </c>
      <c r="D5144" s="10" t="s">
        <v>5010</v>
      </c>
      <c r="E5144" s="10" t="str">
        <f>"644020240512223036171499"</f>
        <v>644020240512223036171499</v>
      </c>
      <c r="F5144" s="9"/>
    </row>
    <row r="5145" s="2" customFormat="1" ht="30" customHeight="1" spans="1:6">
      <c r="A5145" s="9">
        <v>5142</v>
      </c>
      <c r="B5145" s="10" t="s">
        <v>4840</v>
      </c>
      <c r="C5145" s="10" t="s">
        <v>4841</v>
      </c>
      <c r="D5145" s="10" t="s">
        <v>5011</v>
      </c>
      <c r="E5145" s="10" t="str">
        <f>"644020240512145103169617"</f>
        <v>644020240512145103169617</v>
      </c>
      <c r="F5145" s="9"/>
    </row>
    <row r="5146" s="2" customFormat="1" ht="30" customHeight="1" spans="1:6">
      <c r="A5146" s="9">
        <v>5143</v>
      </c>
      <c r="B5146" s="10" t="s">
        <v>4840</v>
      </c>
      <c r="C5146" s="10" t="s">
        <v>4841</v>
      </c>
      <c r="D5146" s="10" t="s">
        <v>5012</v>
      </c>
      <c r="E5146" s="10" t="str">
        <f>"644020240512222304171454"</f>
        <v>644020240512222304171454</v>
      </c>
      <c r="F5146" s="9"/>
    </row>
    <row r="5147" s="2" customFormat="1" ht="30" customHeight="1" spans="1:6">
      <c r="A5147" s="9">
        <v>5144</v>
      </c>
      <c r="B5147" s="10" t="s">
        <v>4840</v>
      </c>
      <c r="C5147" s="10" t="s">
        <v>4841</v>
      </c>
      <c r="D5147" s="10" t="s">
        <v>5013</v>
      </c>
      <c r="E5147" s="10" t="str">
        <f>"644020240512223204171508"</f>
        <v>644020240512223204171508</v>
      </c>
      <c r="F5147" s="9"/>
    </row>
    <row r="5148" s="2" customFormat="1" ht="30" customHeight="1" spans="1:6">
      <c r="A5148" s="9">
        <v>5145</v>
      </c>
      <c r="B5148" s="10" t="s">
        <v>4840</v>
      </c>
      <c r="C5148" s="10" t="s">
        <v>4841</v>
      </c>
      <c r="D5148" s="10" t="s">
        <v>5014</v>
      </c>
      <c r="E5148" s="10" t="str">
        <f>"644020240512223834171542"</f>
        <v>644020240512223834171542</v>
      </c>
      <c r="F5148" s="9"/>
    </row>
    <row r="5149" s="2" customFormat="1" ht="30" customHeight="1" spans="1:6">
      <c r="A5149" s="9">
        <v>5146</v>
      </c>
      <c r="B5149" s="10" t="s">
        <v>4840</v>
      </c>
      <c r="C5149" s="10" t="s">
        <v>4841</v>
      </c>
      <c r="D5149" s="10" t="s">
        <v>5015</v>
      </c>
      <c r="E5149" s="10" t="str">
        <f>"644020240512202811170828"</f>
        <v>644020240512202811170828</v>
      </c>
      <c r="F5149" s="9"/>
    </row>
    <row r="5150" s="2" customFormat="1" ht="30" customHeight="1" spans="1:6">
      <c r="A5150" s="9">
        <v>5147</v>
      </c>
      <c r="B5150" s="10" t="s">
        <v>4840</v>
      </c>
      <c r="C5150" s="10" t="s">
        <v>4841</v>
      </c>
      <c r="D5150" s="10" t="s">
        <v>5016</v>
      </c>
      <c r="E5150" s="10" t="str">
        <f>"644020240512224442171579"</f>
        <v>644020240512224442171579</v>
      </c>
      <c r="F5150" s="9"/>
    </row>
    <row r="5151" s="2" customFormat="1" ht="30" customHeight="1" spans="1:6">
      <c r="A5151" s="9">
        <v>5148</v>
      </c>
      <c r="B5151" s="10" t="s">
        <v>4840</v>
      </c>
      <c r="C5151" s="10" t="s">
        <v>4841</v>
      </c>
      <c r="D5151" s="10" t="s">
        <v>5017</v>
      </c>
      <c r="E5151" s="10" t="str">
        <f>"644020240512133659169391"</f>
        <v>644020240512133659169391</v>
      </c>
      <c r="F5151" s="9"/>
    </row>
    <row r="5152" s="2" customFormat="1" ht="30" customHeight="1" spans="1:6">
      <c r="A5152" s="9">
        <v>5149</v>
      </c>
      <c r="B5152" s="10" t="s">
        <v>4840</v>
      </c>
      <c r="C5152" s="10" t="s">
        <v>4841</v>
      </c>
      <c r="D5152" s="10" t="s">
        <v>5018</v>
      </c>
      <c r="E5152" s="10" t="str">
        <f>"644020240512223715171534"</f>
        <v>644020240512223715171534</v>
      </c>
      <c r="F5152" s="9"/>
    </row>
    <row r="5153" s="2" customFormat="1" ht="30" customHeight="1" spans="1:6">
      <c r="A5153" s="9">
        <v>5150</v>
      </c>
      <c r="B5153" s="10" t="s">
        <v>4840</v>
      </c>
      <c r="C5153" s="10" t="s">
        <v>4841</v>
      </c>
      <c r="D5153" s="10" t="s">
        <v>5019</v>
      </c>
      <c r="E5153" s="10" t="str">
        <f>"644020240512223817171539"</f>
        <v>644020240512223817171539</v>
      </c>
      <c r="F5153" s="9"/>
    </row>
    <row r="5154" s="2" customFormat="1" ht="30" customHeight="1" spans="1:6">
      <c r="A5154" s="9">
        <v>5151</v>
      </c>
      <c r="B5154" s="10" t="s">
        <v>4840</v>
      </c>
      <c r="C5154" s="10" t="s">
        <v>4841</v>
      </c>
      <c r="D5154" s="10" t="s">
        <v>5020</v>
      </c>
      <c r="E5154" s="10" t="str">
        <f>"644020240512224337171567"</f>
        <v>644020240512224337171567</v>
      </c>
      <c r="F5154" s="9"/>
    </row>
    <row r="5155" s="2" customFormat="1" ht="30" customHeight="1" spans="1:6">
      <c r="A5155" s="9">
        <v>5152</v>
      </c>
      <c r="B5155" s="10" t="s">
        <v>4840</v>
      </c>
      <c r="C5155" s="10" t="s">
        <v>4841</v>
      </c>
      <c r="D5155" s="10" t="s">
        <v>5021</v>
      </c>
      <c r="E5155" s="10" t="str">
        <f>"644020240512230012171675"</f>
        <v>644020240512230012171675</v>
      </c>
      <c r="F5155" s="9"/>
    </row>
    <row r="5156" s="2" customFormat="1" ht="30" customHeight="1" spans="1:6">
      <c r="A5156" s="9">
        <v>5153</v>
      </c>
      <c r="B5156" s="10" t="s">
        <v>4840</v>
      </c>
      <c r="C5156" s="10" t="s">
        <v>4841</v>
      </c>
      <c r="D5156" s="10" t="s">
        <v>195</v>
      </c>
      <c r="E5156" s="10" t="str">
        <f>"644020240512223757171538"</f>
        <v>644020240512223757171538</v>
      </c>
      <c r="F5156" s="9"/>
    </row>
    <row r="5157" s="2" customFormat="1" ht="30" customHeight="1" spans="1:6">
      <c r="A5157" s="9">
        <v>5154</v>
      </c>
      <c r="B5157" s="10" t="s">
        <v>4840</v>
      </c>
      <c r="C5157" s="10" t="s">
        <v>4841</v>
      </c>
      <c r="D5157" s="10" t="s">
        <v>5022</v>
      </c>
      <c r="E5157" s="10" t="str">
        <f>"644020240512230000171672"</f>
        <v>644020240512230000171672</v>
      </c>
      <c r="F5157" s="9"/>
    </row>
    <row r="5158" s="2" customFormat="1" ht="30" customHeight="1" spans="1:6">
      <c r="A5158" s="9">
        <v>5155</v>
      </c>
      <c r="B5158" s="10" t="s">
        <v>4840</v>
      </c>
      <c r="C5158" s="10" t="s">
        <v>4841</v>
      </c>
      <c r="D5158" s="10" t="s">
        <v>5023</v>
      </c>
      <c r="E5158" s="10" t="str">
        <f>"644020240512201528170776"</f>
        <v>644020240512201528170776</v>
      </c>
      <c r="F5158" s="9"/>
    </row>
    <row r="5159" s="2" customFormat="1" ht="30" customHeight="1" spans="1:6">
      <c r="A5159" s="9">
        <v>5156</v>
      </c>
      <c r="B5159" s="10" t="s">
        <v>4840</v>
      </c>
      <c r="C5159" s="10" t="s">
        <v>4841</v>
      </c>
      <c r="D5159" s="10" t="s">
        <v>5024</v>
      </c>
      <c r="E5159" s="10" t="str">
        <f>"644020240512223718171535"</f>
        <v>644020240512223718171535</v>
      </c>
      <c r="F5159" s="9"/>
    </row>
    <row r="5160" s="2" customFormat="1" ht="30" customHeight="1" spans="1:6">
      <c r="A5160" s="9">
        <v>5157</v>
      </c>
      <c r="B5160" s="10" t="s">
        <v>4840</v>
      </c>
      <c r="C5160" s="10" t="s">
        <v>4841</v>
      </c>
      <c r="D5160" s="10" t="s">
        <v>5025</v>
      </c>
      <c r="E5160" s="10" t="str">
        <f>"644020240512213342171171"</f>
        <v>644020240512213342171171</v>
      </c>
      <c r="F5160" s="9"/>
    </row>
    <row r="5161" s="2" customFormat="1" ht="30" customHeight="1" spans="1:6">
      <c r="A5161" s="9">
        <v>5158</v>
      </c>
      <c r="B5161" s="10" t="s">
        <v>4840</v>
      </c>
      <c r="C5161" s="10" t="s">
        <v>4841</v>
      </c>
      <c r="D5161" s="10" t="s">
        <v>5026</v>
      </c>
      <c r="E5161" s="10" t="str">
        <f>"644020240512224029171553"</f>
        <v>644020240512224029171553</v>
      </c>
      <c r="F5161" s="9"/>
    </row>
    <row r="5162" s="2" customFormat="1" ht="30" customHeight="1" spans="1:6">
      <c r="A5162" s="9">
        <v>5159</v>
      </c>
      <c r="B5162" s="10" t="s">
        <v>4840</v>
      </c>
      <c r="C5162" s="10" t="s">
        <v>4841</v>
      </c>
      <c r="D5162" s="10" t="s">
        <v>5027</v>
      </c>
      <c r="E5162" s="10" t="str">
        <f>"644020240512124426169191"</f>
        <v>644020240512124426169191</v>
      </c>
      <c r="F5162" s="9"/>
    </row>
    <row r="5163" s="2" customFormat="1" ht="30" customHeight="1" spans="1:6">
      <c r="A5163" s="9">
        <v>5160</v>
      </c>
      <c r="B5163" s="10" t="s">
        <v>4840</v>
      </c>
      <c r="C5163" s="10" t="s">
        <v>4841</v>
      </c>
      <c r="D5163" s="10" t="s">
        <v>5028</v>
      </c>
      <c r="E5163" s="10" t="str">
        <f>"644020240512231746171768"</f>
        <v>644020240512231746171768</v>
      </c>
      <c r="F5163" s="9"/>
    </row>
    <row r="5164" s="2" customFormat="1" ht="30" customHeight="1" spans="1:6">
      <c r="A5164" s="9">
        <v>5161</v>
      </c>
      <c r="B5164" s="10" t="s">
        <v>4840</v>
      </c>
      <c r="C5164" s="10" t="s">
        <v>4841</v>
      </c>
      <c r="D5164" s="10" t="s">
        <v>5029</v>
      </c>
      <c r="E5164" s="10" t="str">
        <f>"644020240512220313171345"</f>
        <v>644020240512220313171345</v>
      </c>
      <c r="F5164" s="9"/>
    </row>
    <row r="5165" s="2" customFormat="1" ht="30" customHeight="1" spans="1:6">
      <c r="A5165" s="9">
        <v>5162</v>
      </c>
      <c r="B5165" s="10" t="s">
        <v>4840</v>
      </c>
      <c r="C5165" s="10" t="s">
        <v>4841</v>
      </c>
      <c r="D5165" s="10" t="s">
        <v>5030</v>
      </c>
      <c r="E5165" s="10" t="str">
        <f>"644020240512200815170740"</f>
        <v>644020240512200815170740</v>
      </c>
      <c r="F5165" s="9"/>
    </row>
    <row r="5166" s="2" customFormat="1" ht="30" customHeight="1" spans="1:6">
      <c r="A5166" s="9">
        <v>5163</v>
      </c>
      <c r="B5166" s="10" t="s">
        <v>4840</v>
      </c>
      <c r="C5166" s="10" t="s">
        <v>4841</v>
      </c>
      <c r="D5166" s="10" t="s">
        <v>5031</v>
      </c>
      <c r="E5166" s="10" t="str">
        <f>"644020240512235356171906"</f>
        <v>644020240512235356171906</v>
      </c>
      <c r="F5166" s="9"/>
    </row>
    <row r="5167" s="2" customFormat="1" ht="30" customHeight="1" spans="1:6">
      <c r="A5167" s="9">
        <v>5164</v>
      </c>
      <c r="B5167" s="10" t="s">
        <v>4840</v>
      </c>
      <c r="C5167" s="10" t="s">
        <v>4841</v>
      </c>
      <c r="D5167" s="10" t="s">
        <v>5032</v>
      </c>
      <c r="E5167" s="10" t="str">
        <f>"644020240512235610171910"</f>
        <v>644020240512235610171910</v>
      </c>
      <c r="F5167" s="9"/>
    </row>
    <row r="5168" s="2" customFormat="1" ht="30" customHeight="1" spans="1:6">
      <c r="A5168" s="9">
        <v>5165</v>
      </c>
      <c r="B5168" s="10" t="s">
        <v>4840</v>
      </c>
      <c r="C5168" s="10" t="s">
        <v>4841</v>
      </c>
      <c r="D5168" s="10" t="s">
        <v>5033</v>
      </c>
      <c r="E5168" s="10" t="str">
        <f>"644020240512235804171916"</f>
        <v>644020240512235804171916</v>
      </c>
      <c r="F5168" s="9"/>
    </row>
    <row r="5169" s="2" customFormat="1" ht="30" customHeight="1" spans="1:6">
      <c r="A5169" s="9">
        <v>5166</v>
      </c>
      <c r="B5169" s="10" t="s">
        <v>4840</v>
      </c>
      <c r="C5169" s="10" t="s">
        <v>4841</v>
      </c>
      <c r="D5169" s="10" t="s">
        <v>5034</v>
      </c>
      <c r="E5169" s="10" t="str">
        <f>"644020240513000015171924"</f>
        <v>644020240513000015171924</v>
      </c>
      <c r="F5169" s="9"/>
    </row>
    <row r="5170" s="2" customFormat="1" ht="30" customHeight="1" spans="1:6">
      <c r="A5170" s="9">
        <v>5167</v>
      </c>
      <c r="B5170" s="10" t="s">
        <v>4840</v>
      </c>
      <c r="C5170" s="10" t="s">
        <v>4841</v>
      </c>
      <c r="D5170" s="10" t="s">
        <v>5035</v>
      </c>
      <c r="E5170" s="10" t="str">
        <f>"644020240512210815171026"</f>
        <v>644020240512210815171026</v>
      </c>
      <c r="F5170" s="9"/>
    </row>
    <row r="5171" s="2" customFormat="1" ht="30" customHeight="1" spans="1:6">
      <c r="A5171" s="9">
        <v>5168</v>
      </c>
      <c r="B5171" s="10" t="s">
        <v>4840</v>
      </c>
      <c r="C5171" s="10" t="s">
        <v>4841</v>
      </c>
      <c r="D5171" s="10" t="s">
        <v>5036</v>
      </c>
      <c r="E5171" s="10" t="str">
        <f>"644020240513001202171961"</f>
        <v>644020240513001202171961</v>
      </c>
      <c r="F5171" s="9"/>
    </row>
    <row r="5172" s="2" customFormat="1" ht="30" customHeight="1" spans="1:6">
      <c r="A5172" s="9">
        <v>5169</v>
      </c>
      <c r="B5172" s="10" t="s">
        <v>4840</v>
      </c>
      <c r="C5172" s="10" t="s">
        <v>4841</v>
      </c>
      <c r="D5172" s="10" t="s">
        <v>5037</v>
      </c>
      <c r="E5172" s="10" t="str">
        <f>"644020240512233028171822"</f>
        <v>644020240512233028171822</v>
      </c>
      <c r="F5172" s="9"/>
    </row>
    <row r="5173" s="2" customFormat="1" ht="30" customHeight="1" spans="1:6">
      <c r="A5173" s="9">
        <v>5170</v>
      </c>
      <c r="B5173" s="10" t="s">
        <v>4840</v>
      </c>
      <c r="C5173" s="10" t="s">
        <v>4841</v>
      </c>
      <c r="D5173" s="10" t="s">
        <v>5038</v>
      </c>
      <c r="E5173" s="10" t="str">
        <f>"644020240513001803171972"</f>
        <v>644020240513001803171972</v>
      </c>
      <c r="F5173" s="9"/>
    </row>
    <row r="5174" s="2" customFormat="1" ht="30" customHeight="1" spans="1:6">
      <c r="A5174" s="9">
        <v>5171</v>
      </c>
      <c r="B5174" s="10" t="s">
        <v>4840</v>
      </c>
      <c r="C5174" s="10" t="s">
        <v>4841</v>
      </c>
      <c r="D5174" s="10" t="s">
        <v>5039</v>
      </c>
      <c r="E5174" s="10" t="str">
        <f>"644020240513005156172015"</f>
        <v>644020240513005156172015</v>
      </c>
      <c r="F5174" s="9"/>
    </row>
    <row r="5175" s="2" customFormat="1" ht="30" customHeight="1" spans="1:6">
      <c r="A5175" s="9">
        <v>5172</v>
      </c>
      <c r="B5175" s="10" t="s">
        <v>4840</v>
      </c>
      <c r="C5175" s="10" t="s">
        <v>4841</v>
      </c>
      <c r="D5175" s="10" t="s">
        <v>5040</v>
      </c>
      <c r="E5175" s="10" t="str">
        <f>"644020240513000717171949"</f>
        <v>644020240513000717171949</v>
      </c>
      <c r="F5175" s="9"/>
    </row>
    <row r="5176" s="2" customFormat="1" ht="30" customHeight="1" spans="1:6">
      <c r="A5176" s="9">
        <v>5173</v>
      </c>
      <c r="B5176" s="10" t="s">
        <v>4840</v>
      </c>
      <c r="C5176" s="10" t="s">
        <v>4841</v>
      </c>
      <c r="D5176" s="10" t="s">
        <v>5041</v>
      </c>
      <c r="E5176" s="10" t="str">
        <f>"644020240513001643171969"</f>
        <v>644020240513001643171969</v>
      </c>
      <c r="F5176" s="9"/>
    </row>
    <row r="5177" s="2" customFormat="1" ht="30" customHeight="1" spans="1:6">
      <c r="A5177" s="9">
        <v>5174</v>
      </c>
      <c r="B5177" s="10" t="s">
        <v>4840</v>
      </c>
      <c r="C5177" s="10" t="s">
        <v>4841</v>
      </c>
      <c r="D5177" s="10" t="s">
        <v>5042</v>
      </c>
      <c r="E5177" s="10" t="str">
        <f>"644020240513065828172119"</f>
        <v>644020240513065828172119</v>
      </c>
      <c r="F5177" s="9"/>
    </row>
    <row r="5178" s="2" customFormat="1" ht="30" customHeight="1" spans="1:6">
      <c r="A5178" s="9">
        <v>5175</v>
      </c>
      <c r="B5178" s="10" t="s">
        <v>4840</v>
      </c>
      <c r="C5178" s="10" t="s">
        <v>4841</v>
      </c>
      <c r="D5178" s="10" t="s">
        <v>5043</v>
      </c>
      <c r="E5178" s="10" t="str">
        <f>"644020240513072653172142"</f>
        <v>644020240513072653172142</v>
      </c>
      <c r="F5178" s="9"/>
    </row>
    <row r="5179" s="2" customFormat="1" ht="30" customHeight="1" spans="1:6">
      <c r="A5179" s="9">
        <v>5176</v>
      </c>
      <c r="B5179" s="10" t="s">
        <v>4840</v>
      </c>
      <c r="C5179" s="10" t="s">
        <v>4841</v>
      </c>
      <c r="D5179" s="10" t="s">
        <v>5044</v>
      </c>
      <c r="E5179" s="10" t="str">
        <f>"644020240513070414172126"</f>
        <v>644020240513070414172126</v>
      </c>
      <c r="F5179" s="9"/>
    </row>
    <row r="5180" s="2" customFormat="1" ht="30" customHeight="1" spans="1:6">
      <c r="A5180" s="9">
        <v>5177</v>
      </c>
      <c r="B5180" s="10" t="s">
        <v>4840</v>
      </c>
      <c r="C5180" s="10" t="s">
        <v>4841</v>
      </c>
      <c r="D5180" s="10" t="s">
        <v>5045</v>
      </c>
      <c r="E5180" s="10" t="str">
        <f>"644020240513074111172160"</f>
        <v>644020240513074111172160</v>
      </c>
      <c r="F5180" s="9"/>
    </row>
    <row r="5181" s="2" customFormat="1" ht="30" customHeight="1" spans="1:6">
      <c r="A5181" s="9">
        <v>5178</v>
      </c>
      <c r="B5181" s="10" t="s">
        <v>4840</v>
      </c>
      <c r="C5181" s="10" t="s">
        <v>4841</v>
      </c>
      <c r="D5181" s="10" t="s">
        <v>5046</v>
      </c>
      <c r="E5181" s="10" t="str">
        <f>"644020240513085023172421"</f>
        <v>644020240513085023172421</v>
      </c>
      <c r="F5181" s="9"/>
    </row>
    <row r="5182" s="2" customFormat="1" ht="30" customHeight="1" spans="1:6">
      <c r="A5182" s="9">
        <v>5179</v>
      </c>
      <c r="B5182" s="10" t="s">
        <v>4840</v>
      </c>
      <c r="C5182" s="10" t="s">
        <v>4841</v>
      </c>
      <c r="D5182" s="10" t="s">
        <v>5047</v>
      </c>
      <c r="E5182" s="10" t="str">
        <f>"644020240513082939172292"</f>
        <v>644020240513082939172292</v>
      </c>
      <c r="F5182" s="9"/>
    </row>
    <row r="5183" s="2" customFormat="1" ht="30" customHeight="1" spans="1:6">
      <c r="A5183" s="9">
        <v>5180</v>
      </c>
      <c r="B5183" s="10" t="s">
        <v>4840</v>
      </c>
      <c r="C5183" s="10" t="s">
        <v>4841</v>
      </c>
      <c r="D5183" s="10" t="s">
        <v>5048</v>
      </c>
      <c r="E5183" s="10" t="str">
        <f>"644020240513084051172358"</f>
        <v>644020240513084051172358</v>
      </c>
      <c r="F5183" s="9"/>
    </row>
    <row r="5184" s="2" customFormat="1" ht="30" customHeight="1" spans="1:6">
      <c r="A5184" s="9">
        <v>5181</v>
      </c>
      <c r="B5184" s="10" t="s">
        <v>4840</v>
      </c>
      <c r="C5184" s="10" t="s">
        <v>4841</v>
      </c>
      <c r="D5184" s="10" t="s">
        <v>5049</v>
      </c>
      <c r="E5184" s="10" t="str">
        <f>"644020240513083636172331"</f>
        <v>644020240513083636172331</v>
      </c>
      <c r="F5184" s="9"/>
    </row>
    <row r="5185" s="2" customFormat="1" ht="30" customHeight="1" spans="1:6">
      <c r="A5185" s="9">
        <v>5182</v>
      </c>
      <c r="B5185" s="10" t="s">
        <v>4840</v>
      </c>
      <c r="C5185" s="10" t="s">
        <v>4841</v>
      </c>
      <c r="D5185" s="10" t="s">
        <v>5050</v>
      </c>
      <c r="E5185" s="10" t="str">
        <f>"644020240512101850168491"</f>
        <v>644020240512101850168491</v>
      </c>
      <c r="F5185" s="9"/>
    </row>
    <row r="5186" s="2" customFormat="1" ht="30" customHeight="1" spans="1:6">
      <c r="A5186" s="9">
        <v>5183</v>
      </c>
      <c r="B5186" s="10" t="s">
        <v>4840</v>
      </c>
      <c r="C5186" s="10" t="s">
        <v>4841</v>
      </c>
      <c r="D5186" s="10" t="s">
        <v>5051</v>
      </c>
      <c r="E5186" s="10" t="str">
        <f>"644020240513083935172350"</f>
        <v>644020240513083935172350</v>
      </c>
      <c r="F5186" s="9"/>
    </row>
    <row r="5187" s="2" customFormat="1" ht="30" customHeight="1" spans="1:6">
      <c r="A5187" s="9">
        <v>5184</v>
      </c>
      <c r="B5187" s="10" t="s">
        <v>4840</v>
      </c>
      <c r="C5187" s="10" t="s">
        <v>4841</v>
      </c>
      <c r="D5187" s="10" t="s">
        <v>5052</v>
      </c>
      <c r="E5187" s="10" t="str">
        <f>"644020240513090621172554"</f>
        <v>644020240513090621172554</v>
      </c>
      <c r="F5187" s="9"/>
    </row>
    <row r="5188" s="2" customFormat="1" ht="30" customHeight="1" spans="1:6">
      <c r="A5188" s="9">
        <v>5185</v>
      </c>
      <c r="B5188" s="10" t="s">
        <v>4840</v>
      </c>
      <c r="C5188" s="10" t="s">
        <v>4841</v>
      </c>
      <c r="D5188" s="10" t="s">
        <v>5053</v>
      </c>
      <c r="E5188" s="10" t="str">
        <f>"644020240513082640172278"</f>
        <v>644020240513082640172278</v>
      </c>
      <c r="F5188" s="9"/>
    </row>
    <row r="5189" s="2" customFormat="1" ht="30" customHeight="1" spans="1:6">
      <c r="A5189" s="9">
        <v>5186</v>
      </c>
      <c r="B5189" s="10" t="s">
        <v>4840</v>
      </c>
      <c r="C5189" s="10" t="s">
        <v>4841</v>
      </c>
      <c r="D5189" s="10" t="s">
        <v>5054</v>
      </c>
      <c r="E5189" s="10" t="str">
        <f>"644020240513074712172171"</f>
        <v>644020240513074712172171</v>
      </c>
      <c r="F5189" s="9"/>
    </row>
    <row r="5190" s="2" customFormat="1" ht="30" customHeight="1" spans="1:6">
      <c r="A5190" s="9">
        <v>5187</v>
      </c>
      <c r="B5190" s="10" t="s">
        <v>4840</v>
      </c>
      <c r="C5190" s="10" t="s">
        <v>4841</v>
      </c>
      <c r="D5190" s="10" t="s">
        <v>5055</v>
      </c>
      <c r="E5190" s="10" t="str">
        <f>"644020240513082724172280"</f>
        <v>644020240513082724172280</v>
      </c>
      <c r="F5190" s="9"/>
    </row>
    <row r="5191" s="2" customFormat="1" ht="30" customHeight="1" spans="1:6">
      <c r="A5191" s="9">
        <v>5188</v>
      </c>
      <c r="B5191" s="10" t="s">
        <v>4840</v>
      </c>
      <c r="C5191" s="10" t="s">
        <v>4841</v>
      </c>
      <c r="D5191" s="10" t="s">
        <v>5056</v>
      </c>
      <c r="E5191" s="10" t="str">
        <f>"644020240513083541172324"</f>
        <v>644020240513083541172324</v>
      </c>
      <c r="F5191" s="9"/>
    </row>
    <row r="5192" s="2" customFormat="1" ht="30" customHeight="1" spans="1:6">
      <c r="A5192" s="9">
        <v>5189</v>
      </c>
      <c r="B5192" s="10" t="s">
        <v>4840</v>
      </c>
      <c r="C5192" s="10" t="s">
        <v>4841</v>
      </c>
      <c r="D5192" s="10" t="s">
        <v>5057</v>
      </c>
      <c r="E5192" s="10" t="str">
        <f>"644020240513090715172565"</f>
        <v>644020240513090715172565</v>
      </c>
      <c r="F5192" s="9"/>
    </row>
    <row r="5193" s="2" customFormat="1" ht="30" customHeight="1" spans="1:6">
      <c r="A5193" s="9">
        <v>5190</v>
      </c>
      <c r="B5193" s="10" t="s">
        <v>4840</v>
      </c>
      <c r="C5193" s="10" t="s">
        <v>4841</v>
      </c>
      <c r="D5193" s="10" t="s">
        <v>4289</v>
      </c>
      <c r="E5193" s="10" t="str">
        <f>"644020240513084716172402"</f>
        <v>644020240513084716172402</v>
      </c>
      <c r="F5193" s="9"/>
    </row>
    <row r="5194" s="2" customFormat="1" ht="30" customHeight="1" spans="1:6">
      <c r="A5194" s="9">
        <v>5191</v>
      </c>
      <c r="B5194" s="10" t="s">
        <v>4840</v>
      </c>
      <c r="C5194" s="10" t="s">
        <v>4841</v>
      </c>
      <c r="D5194" s="10" t="s">
        <v>5058</v>
      </c>
      <c r="E5194" s="10" t="str">
        <f>"644020240513090852172582"</f>
        <v>644020240513090852172582</v>
      </c>
      <c r="F5194" s="9"/>
    </row>
    <row r="5195" s="2" customFormat="1" ht="30" customHeight="1" spans="1:6">
      <c r="A5195" s="9">
        <v>5192</v>
      </c>
      <c r="B5195" s="10" t="s">
        <v>4840</v>
      </c>
      <c r="C5195" s="10" t="s">
        <v>4841</v>
      </c>
      <c r="D5195" s="10" t="s">
        <v>5059</v>
      </c>
      <c r="E5195" s="10" t="str">
        <f>"644020240513082821172285"</f>
        <v>644020240513082821172285</v>
      </c>
      <c r="F5195" s="9"/>
    </row>
    <row r="5196" s="2" customFormat="1" ht="30" customHeight="1" spans="1:6">
      <c r="A5196" s="9">
        <v>5193</v>
      </c>
      <c r="B5196" s="10" t="s">
        <v>4840</v>
      </c>
      <c r="C5196" s="10" t="s">
        <v>4841</v>
      </c>
      <c r="D5196" s="10" t="s">
        <v>5060</v>
      </c>
      <c r="E5196" s="10" t="str">
        <f>"644020240513091855172688"</f>
        <v>644020240513091855172688</v>
      </c>
      <c r="F5196" s="9"/>
    </row>
    <row r="5197" s="2" customFormat="1" ht="30" customHeight="1" spans="1:6">
      <c r="A5197" s="9">
        <v>5194</v>
      </c>
      <c r="B5197" s="10" t="s">
        <v>4840</v>
      </c>
      <c r="C5197" s="10" t="s">
        <v>4841</v>
      </c>
      <c r="D5197" s="10" t="s">
        <v>5061</v>
      </c>
      <c r="E5197" s="10" t="str">
        <f>"644020240513091929172699"</f>
        <v>644020240513091929172699</v>
      </c>
      <c r="F5197" s="9"/>
    </row>
    <row r="5198" s="2" customFormat="1" ht="30" customHeight="1" spans="1:6">
      <c r="A5198" s="9">
        <v>5195</v>
      </c>
      <c r="B5198" s="10" t="s">
        <v>4840</v>
      </c>
      <c r="C5198" s="10" t="s">
        <v>4841</v>
      </c>
      <c r="D5198" s="10" t="s">
        <v>5062</v>
      </c>
      <c r="E5198" s="10" t="str">
        <f>"644020240513092819172789"</f>
        <v>644020240513092819172789</v>
      </c>
      <c r="F5198" s="9"/>
    </row>
    <row r="5199" s="2" customFormat="1" ht="30" customHeight="1" spans="1:6">
      <c r="A5199" s="9">
        <v>5196</v>
      </c>
      <c r="B5199" s="10" t="s">
        <v>4840</v>
      </c>
      <c r="C5199" s="10" t="s">
        <v>4841</v>
      </c>
      <c r="D5199" s="10" t="s">
        <v>5063</v>
      </c>
      <c r="E5199" s="10" t="str">
        <f>"644020240513091926172697"</f>
        <v>644020240513091926172697</v>
      </c>
      <c r="F5199" s="9"/>
    </row>
    <row r="5200" s="2" customFormat="1" ht="30" customHeight="1" spans="1:6">
      <c r="A5200" s="9">
        <v>5197</v>
      </c>
      <c r="B5200" s="10" t="s">
        <v>4840</v>
      </c>
      <c r="C5200" s="10" t="s">
        <v>4841</v>
      </c>
      <c r="D5200" s="10" t="s">
        <v>5064</v>
      </c>
      <c r="E5200" s="10" t="str">
        <f>"644020240513092436172760"</f>
        <v>644020240513092436172760</v>
      </c>
      <c r="F5200" s="9"/>
    </row>
    <row r="5201" s="2" customFormat="1" ht="30" customHeight="1" spans="1:6">
      <c r="A5201" s="9">
        <v>5198</v>
      </c>
      <c r="B5201" s="10" t="s">
        <v>4840</v>
      </c>
      <c r="C5201" s="10" t="s">
        <v>4841</v>
      </c>
      <c r="D5201" s="10" t="s">
        <v>5065</v>
      </c>
      <c r="E5201" s="10" t="str">
        <f>"644020240513091855172686"</f>
        <v>644020240513091855172686</v>
      </c>
      <c r="F5201" s="9"/>
    </row>
    <row r="5202" s="2" customFormat="1" ht="30" customHeight="1" spans="1:6">
      <c r="A5202" s="9">
        <v>5199</v>
      </c>
      <c r="B5202" s="10" t="s">
        <v>4840</v>
      </c>
      <c r="C5202" s="10" t="s">
        <v>4841</v>
      </c>
      <c r="D5202" s="10" t="s">
        <v>5066</v>
      </c>
      <c r="E5202" s="10" t="str">
        <f>"644020240513092726172779"</f>
        <v>644020240513092726172779</v>
      </c>
      <c r="F5202" s="9"/>
    </row>
    <row r="5203" s="2" customFormat="1" ht="30" customHeight="1" spans="1:6">
      <c r="A5203" s="9">
        <v>5200</v>
      </c>
      <c r="B5203" s="10" t="s">
        <v>4840</v>
      </c>
      <c r="C5203" s="10" t="s">
        <v>4841</v>
      </c>
      <c r="D5203" s="10" t="s">
        <v>5067</v>
      </c>
      <c r="E5203" s="10" t="str">
        <f>"644020240513085247172433"</f>
        <v>644020240513085247172433</v>
      </c>
      <c r="F5203" s="9"/>
    </row>
    <row r="5204" s="2" customFormat="1" ht="30" customHeight="1" spans="1:6">
      <c r="A5204" s="9">
        <v>5201</v>
      </c>
      <c r="B5204" s="10" t="s">
        <v>4840</v>
      </c>
      <c r="C5204" s="10" t="s">
        <v>4841</v>
      </c>
      <c r="D5204" s="10" t="s">
        <v>5068</v>
      </c>
      <c r="E5204" s="10" t="str">
        <f>"644020240513093737172885"</f>
        <v>644020240513093737172885</v>
      </c>
      <c r="F5204" s="9"/>
    </row>
    <row r="5205" s="2" customFormat="1" ht="30" customHeight="1" spans="1:6">
      <c r="A5205" s="9">
        <v>5202</v>
      </c>
      <c r="B5205" s="10" t="s">
        <v>4840</v>
      </c>
      <c r="C5205" s="10" t="s">
        <v>4841</v>
      </c>
      <c r="D5205" s="10" t="s">
        <v>5069</v>
      </c>
      <c r="E5205" s="10" t="str">
        <f>"644020240512100052168395"</f>
        <v>644020240512100052168395</v>
      </c>
      <c r="F5205" s="9"/>
    </row>
    <row r="5206" s="2" customFormat="1" ht="30" customHeight="1" spans="1:6">
      <c r="A5206" s="9">
        <v>5203</v>
      </c>
      <c r="B5206" s="10" t="s">
        <v>4840</v>
      </c>
      <c r="C5206" s="10" t="s">
        <v>4841</v>
      </c>
      <c r="D5206" s="10" t="s">
        <v>5070</v>
      </c>
      <c r="E5206" s="10" t="str">
        <f>"644020240513085602172446"</f>
        <v>644020240513085602172446</v>
      </c>
      <c r="F5206" s="9"/>
    </row>
    <row r="5207" s="2" customFormat="1" ht="30" customHeight="1" spans="1:6">
      <c r="A5207" s="9">
        <v>5204</v>
      </c>
      <c r="B5207" s="10" t="s">
        <v>4840</v>
      </c>
      <c r="C5207" s="10" t="s">
        <v>4841</v>
      </c>
      <c r="D5207" s="10" t="s">
        <v>5071</v>
      </c>
      <c r="E5207" s="10" t="str">
        <f>"644020240512140347169466"</f>
        <v>644020240512140347169466</v>
      </c>
      <c r="F5207" s="9"/>
    </row>
    <row r="5208" s="2" customFormat="1" ht="30" customHeight="1" spans="1:6">
      <c r="A5208" s="9">
        <v>5205</v>
      </c>
      <c r="B5208" s="10" t="s">
        <v>4840</v>
      </c>
      <c r="C5208" s="10" t="s">
        <v>4841</v>
      </c>
      <c r="D5208" s="10" t="s">
        <v>5072</v>
      </c>
      <c r="E5208" s="10" t="str">
        <f>"644020240513095042173026"</f>
        <v>644020240513095042173026</v>
      </c>
      <c r="F5208" s="9"/>
    </row>
    <row r="5209" s="2" customFormat="1" ht="30" customHeight="1" spans="1:6">
      <c r="A5209" s="9">
        <v>5206</v>
      </c>
      <c r="B5209" s="10" t="s">
        <v>4840</v>
      </c>
      <c r="C5209" s="10" t="s">
        <v>4841</v>
      </c>
      <c r="D5209" s="10" t="s">
        <v>5073</v>
      </c>
      <c r="E5209" s="10" t="str">
        <f>"644020240513094052172915"</f>
        <v>644020240513094052172915</v>
      </c>
      <c r="F5209" s="9"/>
    </row>
    <row r="5210" s="2" customFormat="1" ht="30" customHeight="1" spans="1:6">
      <c r="A5210" s="9">
        <v>5207</v>
      </c>
      <c r="B5210" s="10" t="s">
        <v>4840</v>
      </c>
      <c r="C5210" s="10" t="s">
        <v>4841</v>
      </c>
      <c r="D5210" s="10" t="s">
        <v>5074</v>
      </c>
      <c r="E5210" s="10" t="str">
        <f>"644020240513095204173039"</f>
        <v>644020240513095204173039</v>
      </c>
      <c r="F5210" s="9"/>
    </row>
    <row r="5211" s="2" customFormat="1" ht="30" customHeight="1" spans="1:6">
      <c r="A5211" s="9">
        <v>5208</v>
      </c>
      <c r="B5211" s="10" t="s">
        <v>4840</v>
      </c>
      <c r="C5211" s="10" t="s">
        <v>4841</v>
      </c>
      <c r="D5211" s="10" t="s">
        <v>5075</v>
      </c>
      <c r="E5211" s="10" t="str">
        <f>"644020240513095053173031"</f>
        <v>644020240513095053173031</v>
      </c>
      <c r="F5211" s="9"/>
    </row>
    <row r="5212" s="2" customFormat="1" ht="30" customHeight="1" spans="1:6">
      <c r="A5212" s="9">
        <v>5209</v>
      </c>
      <c r="B5212" s="10" t="s">
        <v>4840</v>
      </c>
      <c r="C5212" s="10" t="s">
        <v>4841</v>
      </c>
      <c r="D5212" s="10" t="s">
        <v>5076</v>
      </c>
      <c r="E5212" s="10" t="str">
        <f>"644020240512142007169523"</f>
        <v>644020240512142007169523</v>
      </c>
      <c r="F5212" s="9"/>
    </row>
    <row r="5213" s="2" customFormat="1" ht="30" customHeight="1" spans="1:6">
      <c r="A5213" s="9">
        <v>5210</v>
      </c>
      <c r="B5213" s="10" t="s">
        <v>4840</v>
      </c>
      <c r="C5213" s="10" t="s">
        <v>4841</v>
      </c>
      <c r="D5213" s="10" t="s">
        <v>5077</v>
      </c>
      <c r="E5213" s="10" t="str">
        <f>"644020240513100203173130"</f>
        <v>644020240513100203173130</v>
      </c>
      <c r="F5213" s="9"/>
    </row>
    <row r="5214" s="2" customFormat="1" ht="30" customHeight="1" spans="1:6">
      <c r="A5214" s="9">
        <v>5211</v>
      </c>
      <c r="B5214" s="10" t="s">
        <v>4840</v>
      </c>
      <c r="C5214" s="10" t="s">
        <v>4841</v>
      </c>
      <c r="D5214" s="10" t="s">
        <v>5078</v>
      </c>
      <c r="E5214" s="10" t="str">
        <f>"644020240513095827173102"</f>
        <v>644020240513095827173102</v>
      </c>
      <c r="F5214" s="9"/>
    </row>
    <row r="5215" s="2" customFormat="1" ht="30" customHeight="1" spans="1:6">
      <c r="A5215" s="9">
        <v>5212</v>
      </c>
      <c r="B5215" s="10" t="s">
        <v>4840</v>
      </c>
      <c r="C5215" s="10" t="s">
        <v>4841</v>
      </c>
      <c r="D5215" s="10" t="s">
        <v>5079</v>
      </c>
      <c r="E5215" s="10" t="str">
        <f>"644020240513095916173112"</f>
        <v>644020240513095916173112</v>
      </c>
      <c r="F5215" s="9"/>
    </row>
    <row r="5216" s="2" customFormat="1" ht="30" customHeight="1" spans="1:6">
      <c r="A5216" s="9">
        <v>5213</v>
      </c>
      <c r="B5216" s="10" t="s">
        <v>4840</v>
      </c>
      <c r="C5216" s="10" t="s">
        <v>4841</v>
      </c>
      <c r="D5216" s="10" t="s">
        <v>5080</v>
      </c>
      <c r="E5216" s="10" t="str">
        <f>"644020240512221113171394"</f>
        <v>644020240512221113171394</v>
      </c>
      <c r="F5216" s="9"/>
    </row>
    <row r="5217" s="2" customFormat="1" ht="30" customHeight="1" spans="1:6">
      <c r="A5217" s="9">
        <v>5214</v>
      </c>
      <c r="B5217" s="10" t="s">
        <v>4840</v>
      </c>
      <c r="C5217" s="10" t="s">
        <v>4841</v>
      </c>
      <c r="D5217" s="10" t="s">
        <v>5081</v>
      </c>
      <c r="E5217" s="10" t="str">
        <f>"644020240513101503173258"</f>
        <v>644020240513101503173258</v>
      </c>
      <c r="F5217" s="9"/>
    </row>
    <row r="5218" s="2" customFormat="1" ht="30" customHeight="1" spans="1:6">
      <c r="A5218" s="9">
        <v>5215</v>
      </c>
      <c r="B5218" s="10" t="s">
        <v>4840</v>
      </c>
      <c r="C5218" s="10" t="s">
        <v>4841</v>
      </c>
      <c r="D5218" s="10" t="s">
        <v>5082</v>
      </c>
      <c r="E5218" s="10" t="str">
        <f>"644020240513100410173148"</f>
        <v>644020240513100410173148</v>
      </c>
      <c r="F5218" s="9"/>
    </row>
    <row r="5219" s="2" customFormat="1" ht="30" customHeight="1" spans="1:6">
      <c r="A5219" s="9">
        <v>5216</v>
      </c>
      <c r="B5219" s="10" t="s">
        <v>4840</v>
      </c>
      <c r="C5219" s="10" t="s">
        <v>4841</v>
      </c>
      <c r="D5219" s="10" t="s">
        <v>5083</v>
      </c>
      <c r="E5219" s="10" t="str">
        <f>"644020240513101930173306"</f>
        <v>644020240513101930173306</v>
      </c>
      <c r="F5219" s="9"/>
    </row>
    <row r="5220" s="2" customFormat="1" ht="30" customHeight="1" spans="1:6">
      <c r="A5220" s="9">
        <v>5217</v>
      </c>
      <c r="B5220" s="10" t="s">
        <v>4840</v>
      </c>
      <c r="C5220" s="10" t="s">
        <v>4841</v>
      </c>
      <c r="D5220" s="10" t="s">
        <v>5084</v>
      </c>
      <c r="E5220" s="10" t="str">
        <f>"644020240512214646171248"</f>
        <v>644020240512214646171248</v>
      </c>
      <c r="F5220" s="9"/>
    </row>
    <row r="5221" s="2" customFormat="1" ht="30" customHeight="1" spans="1:6">
      <c r="A5221" s="9">
        <v>5218</v>
      </c>
      <c r="B5221" s="10" t="s">
        <v>4840</v>
      </c>
      <c r="C5221" s="10" t="s">
        <v>4841</v>
      </c>
      <c r="D5221" s="10" t="s">
        <v>5085</v>
      </c>
      <c r="E5221" s="10" t="str">
        <f>"644020240513081441172228"</f>
        <v>644020240513081441172228</v>
      </c>
      <c r="F5221" s="9"/>
    </row>
    <row r="5222" s="2" customFormat="1" ht="30" customHeight="1" spans="1:6">
      <c r="A5222" s="9">
        <v>5219</v>
      </c>
      <c r="B5222" s="10" t="s">
        <v>4840</v>
      </c>
      <c r="C5222" s="10" t="s">
        <v>4841</v>
      </c>
      <c r="D5222" s="10" t="s">
        <v>5086</v>
      </c>
      <c r="E5222" s="10" t="str">
        <f>"644020240513082055172254"</f>
        <v>644020240513082055172254</v>
      </c>
      <c r="F5222" s="9"/>
    </row>
    <row r="5223" s="2" customFormat="1" ht="30" customHeight="1" spans="1:6">
      <c r="A5223" s="9">
        <v>5220</v>
      </c>
      <c r="B5223" s="10" t="s">
        <v>4840</v>
      </c>
      <c r="C5223" s="10" t="s">
        <v>4841</v>
      </c>
      <c r="D5223" s="10" t="s">
        <v>1580</v>
      </c>
      <c r="E5223" s="10" t="str">
        <f>"644020240513102222173332"</f>
        <v>644020240513102222173332</v>
      </c>
      <c r="F5223" s="9"/>
    </row>
    <row r="5224" s="2" customFormat="1" ht="30" customHeight="1" spans="1:6">
      <c r="A5224" s="9">
        <v>5221</v>
      </c>
      <c r="B5224" s="10" t="s">
        <v>4840</v>
      </c>
      <c r="C5224" s="10" t="s">
        <v>4841</v>
      </c>
      <c r="D5224" s="10" t="s">
        <v>794</v>
      </c>
      <c r="E5224" s="10" t="str">
        <f>"644020240513102904173412"</f>
        <v>644020240513102904173412</v>
      </c>
      <c r="F5224" s="9"/>
    </row>
    <row r="5225" s="2" customFormat="1" ht="30" customHeight="1" spans="1:6">
      <c r="A5225" s="9">
        <v>5222</v>
      </c>
      <c r="B5225" s="10" t="s">
        <v>4840</v>
      </c>
      <c r="C5225" s="10" t="s">
        <v>4841</v>
      </c>
      <c r="D5225" s="10" t="s">
        <v>5087</v>
      </c>
      <c r="E5225" s="10" t="str">
        <f>"644020240513103243173450"</f>
        <v>644020240513103243173450</v>
      </c>
      <c r="F5225" s="9"/>
    </row>
    <row r="5226" s="2" customFormat="1" ht="30" customHeight="1" spans="1:6">
      <c r="A5226" s="9">
        <v>5223</v>
      </c>
      <c r="B5226" s="10" t="s">
        <v>4840</v>
      </c>
      <c r="C5226" s="10" t="s">
        <v>4841</v>
      </c>
      <c r="D5226" s="10" t="s">
        <v>5088</v>
      </c>
      <c r="E5226" s="10" t="str">
        <f>"644020240513093946172908"</f>
        <v>644020240513093946172908</v>
      </c>
      <c r="F5226" s="9"/>
    </row>
    <row r="5227" s="2" customFormat="1" ht="30" customHeight="1" spans="1:6">
      <c r="A5227" s="9">
        <v>5224</v>
      </c>
      <c r="B5227" s="10" t="s">
        <v>4840</v>
      </c>
      <c r="C5227" s="10" t="s">
        <v>4841</v>
      </c>
      <c r="D5227" s="10" t="s">
        <v>5089</v>
      </c>
      <c r="E5227" s="10" t="str">
        <f>"644020240513103408173461"</f>
        <v>644020240513103408173461</v>
      </c>
      <c r="F5227" s="9"/>
    </row>
    <row r="5228" s="2" customFormat="1" ht="30" customHeight="1" spans="1:6">
      <c r="A5228" s="9">
        <v>5225</v>
      </c>
      <c r="B5228" s="10" t="s">
        <v>4840</v>
      </c>
      <c r="C5228" s="10" t="s">
        <v>4841</v>
      </c>
      <c r="D5228" s="10" t="s">
        <v>5090</v>
      </c>
      <c r="E5228" s="10" t="str">
        <f>"644020240513090011172483"</f>
        <v>644020240513090011172483</v>
      </c>
      <c r="F5228" s="9"/>
    </row>
    <row r="5229" s="2" customFormat="1" ht="30" customHeight="1" spans="1:6">
      <c r="A5229" s="9">
        <v>5226</v>
      </c>
      <c r="B5229" s="10" t="s">
        <v>4840</v>
      </c>
      <c r="C5229" s="10" t="s">
        <v>4841</v>
      </c>
      <c r="D5229" s="10" t="s">
        <v>5091</v>
      </c>
      <c r="E5229" s="10" t="str">
        <f>"644020240513103156173441"</f>
        <v>644020240513103156173441</v>
      </c>
      <c r="F5229" s="9"/>
    </row>
    <row r="5230" s="2" customFormat="1" ht="30" customHeight="1" spans="1:6">
      <c r="A5230" s="9">
        <v>5227</v>
      </c>
      <c r="B5230" s="10" t="s">
        <v>4840</v>
      </c>
      <c r="C5230" s="10" t="s">
        <v>4841</v>
      </c>
      <c r="D5230" s="10" t="s">
        <v>5092</v>
      </c>
      <c r="E5230" s="10" t="str">
        <f>"644020240513103938173498"</f>
        <v>644020240513103938173498</v>
      </c>
      <c r="F5230" s="9"/>
    </row>
    <row r="5231" s="2" customFormat="1" ht="30" customHeight="1" spans="1:6">
      <c r="A5231" s="9">
        <v>5228</v>
      </c>
      <c r="B5231" s="10" t="s">
        <v>4840</v>
      </c>
      <c r="C5231" s="10" t="s">
        <v>4841</v>
      </c>
      <c r="D5231" s="10" t="s">
        <v>5093</v>
      </c>
      <c r="E5231" s="10" t="str">
        <f>"644020240513092243172736"</f>
        <v>644020240513092243172736</v>
      </c>
      <c r="F5231" s="9"/>
    </row>
    <row r="5232" s="2" customFormat="1" ht="30" customHeight="1" spans="1:6">
      <c r="A5232" s="9">
        <v>5229</v>
      </c>
      <c r="B5232" s="10" t="s">
        <v>4840</v>
      </c>
      <c r="C5232" s="10" t="s">
        <v>4841</v>
      </c>
      <c r="D5232" s="10" t="s">
        <v>5094</v>
      </c>
      <c r="E5232" s="10" t="str">
        <f>"644020240512100938168440"</f>
        <v>644020240512100938168440</v>
      </c>
      <c r="F5232" s="9"/>
    </row>
    <row r="5233" s="2" customFormat="1" ht="30" customHeight="1" spans="1:6">
      <c r="A5233" s="9">
        <v>5230</v>
      </c>
      <c r="B5233" s="10" t="s">
        <v>4840</v>
      </c>
      <c r="C5233" s="10" t="s">
        <v>4841</v>
      </c>
      <c r="D5233" s="10" t="s">
        <v>5095</v>
      </c>
      <c r="E5233" s="10" t="str">
        <f>"644020240513080838172209"</f>
        <v>644020240513080838172209</v>
      </c>
      <c r="F5233" s="9"/>
    </row>
    <row r="5234" s="2" customFormat="1" ht="30" customHeight="1" spans="1:6">
      <c r="A5234" s="9">
        <v>5231</v>
      </c>
      <c r="B5234" s="10" t="s">
        <v>4840</v>
      </c>
      <c r="C5234" s="10" t="s">
        <v>4841</v>
      </c>
      <c r="D5234" s="10" t="s">
        <v>5096</v>
      </c>
      <c r="E5234" s="10" t="str">
        <f>"644020240513104427173547"</f>
        <v>644020240513104427173547</v>
      </c>
      <c r="F5234" s="9"/>
    </row>
    <row r="5235" s="2" customFormat="1" ht="30" customHeight="1" spans="1:6">
      <c r="A5235" s="9">
        <v>5232</v>
      </c>
      <c r="B5235" s="10" t="s">
        <v>4840</v>
      </c>
      <c r="C5235" s="10" t="s">
        <v>4841</v>
      </c>
      <c r="D5235" s="10" t="s">
        <v>5097</v>
      </c>
      <c r="E5235" s="10" t="str">
        <f>"644020240513101556173268"</f>
        <v>644020240513101556173268</v>
      </c>
      <c r="F5235" s="9"/>
    </row>
    <row r="5236" s="2" customFormat="1" ht="30" customHeight="1" spans="1:6">
      <c r="A5236" s="9">
        <v>5233</v>
      </c>
      <c r="B5236" s="10" t="s">
        <v>4840</v>
      </c>
      <c r="C5236" s="10" t="s">
        <v>4841</v>
      </c>
      <c r="D5236" s="10" t="s">
        <v>5098</v>
      </c>
      <c r="E5236" s="10" t="str">
        <f>"644020240513101341173248"</f>
        <v>644020240513101341173248</v>
      </c>
      <c r="F5236" s="9"/>
    </row>
    <row r="5237" s="2" customFormat="1" ht="30" customHeight="1" spans="1:6">
      <c r="A5237" s="9">
        <v>5234</v>
      </c>
      <c r="B5237" s="10" t="s">
        <v>4840</v>
      </c>
      <c r="C5237" s="10" t="s">
        <v>4841</v>
      </c>
      <c r="D5237" s="10" t="s">
        <v>655</v>
      </c>
      <c r="E5237" s="10" t="str">
        <f>"644020240513102241173335"</f>
        <v>644020240513102241173335</v>
      </c>
      <c r="F5237" s="9"/>
    </row>
    <row r="5238" s="2" customFormat="1" ht="30" customHeight="1" spans="1:6">
      <c r="A5238" s="9">
        <v>5235</v>
      </c>
      <c r="B5238" s="10" t="s">
        <v>4840</v>
      </c>
      <c r="C5238" s="10" t="s">
        <v>4841</v>
      </c>
      <c r="D5238" s="10" t="s">
        <v>5099</v>
      </c>
      <c r="E5238" s="10" t="str">
        <f>"644020240513104507173554"</f>
        <v>644020240513104507173554</v>
      </c>
      <c r="F5238" s="9"/>
    </row>
    <row r="5239" s="2" customFormat="1" ht="30" customHeight="1" spans="1:6">
      <c r="A5239" s="9">
        <v>5236</v>
      </c>
      <c r="B5239" s="10" t="s">
        <v>4840</v>
      </c>
      <c r="C5239" s="10" t="s">
        <v>4841</v>
      </c>
      <c r="D5239" s="10" t="s">
        <v>5100</v>
      </c>
      <c r="E5239" s="10" t="str">
        <f>"644020240513103252173452"</f>
        <v>644020240513103252173452</v>
      </c>
      <c r="F5239" s="9"/>
    </row>
    <row r="5240" s="2" customFormat="1" ht="30" customHeight="1" spans="1:6">
      <c r="A5240" s="9">
        <v>5237</v>
      </c>
      <c r="B5240" s="10" t="s">
        <v>4840</v>
      </c>
      <c r="C5240" s="10" t="s">
        <v>4841</v>
      </c>
      <c r="D5240" s="10" t="s">
        <v>5101</v>
      </c>
      <c r="E5240" s="10" t="str">
        <f>"644020240513105646173658"</f>
        <v>644020240513105646173658</v>
      </c>
      <c r="F5240" s="9"/>
    </row>
    <row r="5241" s="2" customFormat="1" ht="30" customHeight="1" spans="1:6">
      <c r="A5241" s="9">
        <v>5238</v>
      </c>
      <c r="B5241" s="10" t="s">
        <v>4840</v>
      </c>
      <c r="C5241" s="10" t="s">
        <v>4841</v>
      </c>
      <c r="D5241" s="10" t="s">
        <v>5102</v>
      </c>
      <c r="E5241" s="10" t="str">
        <f>"644020240513105456173641"</f>
        <v>644020240513105456173641</v>
      </c>
      <c r="F5241" s="9"/>
    </row>
    <row r="5242" s="2" customFormat="1" ht="30" customHeight="1" spans="1:6">
      <c r="A5242" s="9">
        <v>5239</v>
      </c>
      <c r="B5242" s="10" t="s">
        <v>4840</v>
      </c>
      <c r="C5242" s="10" t="s">
        <v>4841</v>
      </c>
      <c r="D5242" s="10" t="s">
        <v>1177</v>
      </c>
      <c r="E5242" s="10" t="str">
        <f>"644020240513103220173443"</f>
        <v>644020240513103220173443</v>
      </c>
      <c r="F5242" s="9"/>
    </row>
    <row r="5243" s="2" customFormat="1" ht="30" customHeight="1" spans="1:6">
      <c r="A5243" s="9">
        <v>5240</v>
      </c>
      <c r="B5243" s="10" t="s">
        <v>4840</v>
      </c>
      <c r="C5243" s="10" t="s">
        <v>4841</v>
      </c>
      <c r="D5243" s="10" t="s">
        <v>5103</v>
      </c>
      <c r="E5243" s="10" t="str">
        <f>"644020240512112026168836"</f>
        <v>644020240512112026168836</v>
      </c>
      <c r="F5243" s="9"/>
    </row>
    <row r="5244" s="2" customFormat="1" ht="30" customHeight="1" spans="1:6">
      <c r="A5244" s="9">
        <v>5241</v>
      </c>
      <c r="B5244" s="10" t="s">
        <v>4840</v>
      </c>
      <c r="C5244" s="10" t="s">
        <v>4841</v>
      </c>
      <c r="D5244" s="10" t="s">
        <v>5104</v>
      </c>
      <c r="E5244" s="10" t="str">
        <f>"644020240513105305173625"</f>
        <v>644020240513105305173625</v>
      </c>
      <c r="F5244" s="9"/>
    </row>
    <row r="5245" s="2" customFormat="1" ht="30" customHeight="1" spans="1:6">
      <c r="A5245" s="9">
        <v>5242</v>
      </c>
      <c r="B5245" s="10" t="s">
        <v>4840</v>
      </c>
      <c r="C5245" s="10" t="s">
        <v>4841</v>
      </c>
      <c r="D5245" s="10" t="s">
        <v>5105</v>
      </c>
      <c r="E5245" s="10" t="str">
        <f>"644020240513102543173369"</f>
        <v>644020240513102543173369</v>
      </c>
      <c r="F5245" s="9"/>
    </row>
    <row r="5246" s="2" customFormat="1" ht="30" customHeight="1" spans="1:6">
      <c r="A5246" s="9">
        <v>5243</v>
      </c>
      <c r="B5246" s="10" t="s">
        <v>4840</v>
      </c>
      <c r="C5246" s="10" t="s">
        <v>4841</v>
      </c>
      <c r="D5246" s="10" t="s">
        <v>5106</v>
      </c>
      <c r="E5246" s="10" t="str">
        <f>"644020240513102358173350"</f>
        <v>644020240513102358173350</v>
      </c>
      <c r="F5246" s="9"/>
    </row>
    <row r="5247" s="2" customFormat="1" ht="30" customHeight="1" spans="1:6">
      <c r="A5247" s="9">
        <v>5244</v>
      </c>
      <c r="B5247" s="10" t="s">
        <v>4840</v>
      </c>
      <c r="C5247" s="10" t="s">
        <v>4841</v>
      </c>
      <c r="D5247" s="10" t="s">
        <v>5107</v>
      </c>
      <c r="E5247" s="10" t="str">
        <f>"644020240513104748173583"</f>
        <v>644020240513104748173583</v>
      </c>
      <c r="F5247" s="9"/>
    </row>
    <row r="5248" s="2" customFormat="1" ht="30" customHeight="1" spans="1:6">
      <c r="A5248" s="9">
        <v>5245</v>
      </c>
      <c r="B5248" s="10" t="s">
        <v>4840</v>
      </c>
      <c r="C5248" s="10" t="s">
        <v>4841</v>
      </c>
      <c r="D5248" s="10" t="s">
        <v>5108</v>
      </c>
      <c r="E5248" s="10" t="str">
        <f>"644020240512164409170054"</f>
        <v>644020240512164409170054</v>
      </c>
      <c r="F5248" s="9"/>
    </row>
    <row r="5249" s="2" customFormat="1" ht="30" customHeight="1" spans="1:6">
      <c r="A5249" s="9">
        <v>5246</v>
      </c>
      <c r="B5249" s="10" t="s">
        <v>4840</v>
      </c>
      <c r="C5249" s="10" t="s">
        <v>4841</v>
      </c>
      <c r="D5249" s="10" t="s">
        <v>5109</v>
      </c>
      <c r="E5249" s="10" t="str">
        <f>"644020240512125017169206"</f>
        <v>644020240512125017169206</v>
      </c>
      <c r="F5249" s="9"/>
    </row>
    <row r="5250" s="2" customFormat="1" ht="30" customHeight="1" spans="1:6">
      <c r="A5250" s="9">
        <v>5247</v>
      </c>
      <c r="B5250" s="10" t="s">
        <v>4840</v>
      </c>
      <c r="C5250" s="10" t="s">
        <v>4841</v>
      </c>
      <c r="D5250" s="10" t="s">
        <v>5110</v>
      </c>
      <c r="E5250" s="10" t="str">
        <f>"644020240513101521173260"</f>
        <v>644020240513101521173260</v>
      </c>
      <c r="F5250" s="9"/>
    </row>
    <row r="5251" s="2" customFormat="1" ht="30" customHeight="1" spans="1:6">
      <c r="A5251" s="9">
        <v>5248</v>
      </c>
      <c r="B5251" s="10" t="s">
        <v>4840</v>
      </c>
      <c r="C5251" s="10" t="s">
        <v>4841</v>
      </c>
      <c r="D5251" s="10" t="s">
        <v>5111</v>
      </c>
      <c r="E5251" s="10" t="str">
        <f>"644020240512100941168442"</f>
        <v>644020240512100941168442</v>
      </c>
      <c r="F5251" s="9"/>
    </row>
    <row r="5252" s="2" customFormat="1" ht="30" customHeight="1" spans="1:6">
      <c r="A5252" s="9">
        <v>5249</v>
      </c>
      <c r="B5252" s="10" t="s">
        <v>4840</v>
      </c>
      <c r="C5252" s="10" t="s">
        <v>4841</v>
      </c>
      <c r="D5252" s="10" t="s">
        <v>5112</v>
      </c>
      <c r="E5252" s="10" t="str">
        <f>"644020240513103400173460"</f>
        <v>644020240513103400173460</v>
      </c>
      <c r="F5252" s="9"/>
    </row>
    <row r="5253" s="2" customFormat="1" ht="30" customHeight="1" spans="1:6">
      <c r="A5253" s="9">
        <v>5250</v>
      </c>
      <c r="B5253" s="10" t="s">
        <v>4840</v>
      </c>
      <c r="C5253" s="10" t="s">
        <v>4841</v>
      </c>
      <c r="D5253" s="10" t="s">
        <v>5113</v>
      </c>
      <c r="E5253" s="10" t="str">
        <f>"644020240513110335173723"</f>
        <v>644020240513110335173723</v>
      </c>
      <c r="F5253" s="9"/>
    </row>
    <row r="5254" s="2" customFormat="1" ht="30" customHeight="1" spans="1:6">
      <c r="A5254" s="9">
        <v>5251</v>
      </c>
      <c r="B5254" s="10" t="s">
        <v>4840</v>
      </c>
      <c r="C5254" s="10" t="s">
        <v>4841</v>
      </c>
      <c r="D5254" s="10" t="s">
        <v>5114</v>
      </c>
      <c r="E5254" s="10" t="str">
        <f>"644020240512113906168932"</f>
        <v>644020240512113906168932</v>
      </c>
      <c r="F5254" s="9"/>
    </row>
    <row r="5255" s="2" customFormat="1" ht="30" customHeight="1" spans="1:6">
      <c r="A5255" s="9">
        <v>5252</v>
      </c>
      <c r="B5255" s="10" t="s">
        <v>4840</v>
      </c>
      <c r="C5255" s="10" t="s">
        <v>4841</v>
      </c>
      <c r="D5255" s="10" t="s">
        <v>5115</v>
      </c>
      <c r="E5255" s="10" t="str">
        <f>"644020240513102348173348"</f>
        <v>644020240513102348173348</v>
      </c>
      <c r="F5255" s="9"/>
    </row>
    <row r="5256" s="2" customFormat="1" ht="30" customHeight="1" spans="1:6">
      <c r="A5256" s="9">
        <v>5253</v>
      </c>
      <c r="B5256" s="10" t="s">
        <v>4840</v>
      </c>
      <c r="C5256" s="10" t="s">
        <v>4841</v>
      </c>
      <c r="D5256" s="10" t="s">
        <v>5116</v>
      </c>
      <c r="E5256" s="10" t="str">
        <f>"644020240513111600173842"</f>
        <v>644020240513111600173842</v>
      </c>
      <c r="F5256" s="9"/>
    </row>
    <row r="5257" s="2" customFormat="1" ht="30" customHeight="1" spans="1:6">
      <c r="A5257" s="9">
        <v>5254</v>
      </c>
      <c r="B5257" s="10" t="s">
        <v>4840</v>
      </c>
      <c r="C5257" s="10" t="s">
        <v>4841</v>
      </c>
      <c r="D5257" s="10" t="s">
        <v>1255</v>
      </c>
      <c r="E5257" s="10" t="str">
        <f>"644020240512211532171073"</f>
        <v>644020240512211532171073</v>
      </c>
      <c r="F5257" s="9"/>
    </row>
    <row r="5258" s="2" customFormat="1" ht="30" customHeight="1" spans="1:6">
      <c r="A5258" s="9">
        <v>5255</v>
      </c>
      <c r="B5258" s="10" t="s">
        <v>4840</v>
      </c>
      <c r="C5258" s="10" t="s">
        <v>4841</v>
      </c>
      <c r="D5258" s="10" t="s">
        <v>5117</v>
      </c>
      <c r="E5258" s="10" t="str">
        <f>"644020240513105153173615"</f>
        <v>644020240513105153173615</v>
      </c>
      <c r="F5258" s="9"/>
    </row>
    <row r="5259" s="2" customFormat="1" ht="30" customHeight="1" spans="1:6">
      <c r="A5259" s="9">
        <v>5256</v>
      </c>
      <c r="B5259" s="10" t="s">
        <v>4840</v>
      </c>
      <c r="C5259" s="10" t="s">
        <v>4841</v>
      </c>
      <c r="D5259" s="10" t="s">
        <v>5118</v>
      </c>
      <c r="E5259" s="10" t="str">
        <f>"644020240512115822169002"</f>
        <v>644020240512115822169002</v>
      </c>
      <c r="F5259" s="9"/>
    </row>
    <row r="5260" s="2" customFormat="1" ht="30" customHeight="1" spans="1:6">
      <c r="A5260" s="9">
        <v>5257</v>
      </c>
      <c r="B5260" s="10" t="s">
        <v>4840</v>
      </c>
      <c r="C5260" s="10" t="s">
        <v>4841</v>
      </c>
      <c r="D5260" s="10" t="s">
        <v>5119</v>
      </c>
      <c r="E5260" s="10" t="str">
        <f>"644020240513094020172912"</f>
        <v>644020240513094020172912</v>
      </c>
      <c r="F5260" s="9"/>
    </row>
    <row r="5261" s="2" customFormat="1" ht="30" customHeight="1" spans="1:6">
      <c r="A5261" s="9">
        <v>5258</v>
      </c>
      <c r="B5261" s="10" t="s">
        <v>4840</v>
      </c>
      <c r="C5261" s="10" t="s">
        <v>4841</v>
      </c>
      <c r="D5261" s="10" t="s">
        <v>5120</v>
      </c>
      <c r="E5261" s="10" t="str">
        <f>"644020240513110712173753"</f>
        <v>644020240513110712173753</v>
      </c>
      <c r="F5261" s="9"/>
    </row>
    <row r="5262" s="2" customFormat="1" ht="30" customHeight="1" spans="1:6">
      <c r="A5262" s="9">
        <v>5259</v>
      </c>
      <c r="B5262" s="10" t="s">
        <v>4840</v>
      </c>
      <c r="C5262" s="10" t="s">
        <v>4841</v>
      </c>
      <c r="D5262" s="10" t="s">
        <v>5121</v>
      </c>
      <c r="E5262" s="10" t="str">
        <f>"644020240513112015173888"</f>
        <v>644020240513112015173888</v>
      </c>
      <c r="F5262" s="9"/>
    </row>
    <row r="5263" s="2" customFormat="1" ht="30" customHeight="1" spans="1:6">
      <c r="A5263" s="9">
        <v>5260</v>
      </c>
      <c r="B5263" s="10" t="s">
        <v>4840</v>
      </c>
      <c r="C5263" s="10" t="s">
        <v>4841</v>
      </c>
      <c r="D5263" s="10" t="s">
        <v>5122</v>
      </c>
      <c r="E5263" s="10" t="str">
        <f>"644020240512190803170531"</f>
        <v>644020240512190803170531</v>
      </c>
      <c r="F5263" s="9"/>
    </row>
    <row r="5264" s="2" customFormat="1" ht="30" customHeight="1" spans="1:6">
      <c r="A5264" s="9">
        <v>5261</v>
      </c>
      <c r="B5264" s="10" t="s">
        <v>4840</v>
      </c>
      <c r="C5264" s="10" t="s">
        <v>4841</v>
      </c>
      <c r="D5264" s="10" t="s">
        <v>5123</v>
      </c>
      <c r="E5264" s="10" t="str">
        <f>"644020240513105749173665"</f>
        <v>644020240513105749173665</v>
      </c>
      <c r="F5264" s="9"/>
    </row>
    <row r="5265" s="2" customFormat="1" ht="30" customHeight="1" spans="1:6">
      <c r="A5265" s="9">
        <v>5262</v>
      </c>
      <c r="B5265" s="10" t="s">
        <v>4840</v>
      </c>
      <c r="C5265" s="10" t="s">
        <v>4841</v>
      </c>
      <c r="D5265" s="10" t="s">
        <v>5124</v>
      </c>
      <c r="E5265" s="10" t="str">
        <f>"644020240512200613170732"</f>
        <v>644020240512200613170732</v>
      </c>
      <c r="F5265" s="9"/>
    </row>
    <row r="5266" s="2" customFormat="1" ht="30" customHeight="1" spans="1:6">
      <c r="A5266" s="9">
        <v>5263</v>
      </c>
      <c r="B5266" s="10" t="s">
        <v>4840</v>
      </c>
      <c r="C5266" s="10" t="s">
        <v>4841</v>
      </c>
      <c r="D5266" s="10" t="s">
        <v>5125</v>
      </c>
      <c r="E5266" s="10" t="str">
        <f>"644020240512204029170889"</f>
        <v>644020240512204029170889</v>
      </c>
      <c r="F5266" s="9"/>
    </row>
    <row r="5267" s="2" customFormat="1" ht="30" customHeight="1" spans="1:6">
      <c r="A5267" s="9">
        <v>5264</v>
      </c>
      <c r="B5267" s="10" t="s">
        <v>4840</v>
      </c>
      <c r="C5267" s="10" t="s">
        <v>4841</v>
      </c>
      <c r="D5267" s="10" t="s">
        <v>5126</v>
      </c>
      <c r="E5267" s="10" t="str">
        <f>"644020240513111253173810"</f>
        <v>644020240513111253173810</v>
      </c>
      <c r="F5267" s="9"/>
    </row>
    <row r="5268" s="2" customFormat="1" ht="30" customHeight="1" spans="1:6">
      <c r="A5268" s="9">
        <v>5265</v>
      </c>
      <c r="B5268" s="10" t="s">
        <v>4840</v>
      </c>
      <c r="C5268" s="10" t="s">
        <v>4841</v>
      </c>
      <c r="D5268" s="10" t="s">
        <v>5127</v>
      </c>
      <c r="E5268" s="10" t="str">
        <f>"644020240513105804173670"</f>
        <v>644020240513105804173670</v>
      </c>
      <c r="F5268" s="9"/>
    </row>
    <row r="5269" s="2" customFormat="1" ht="30" customHeight="1" spans="1:6">
      <c r="A5269" s="9">
        <v>5266</v>
      </c>
      <c r="B5269" s="10" t="s">
        <v>4840</v>
      </c>
      <c r="C5269" s="10" t="s">
        <v>4841</v>
      </c>
      <c r="D5269" s="10" t="s">
        <v>5128</v>
      </c>
      <c r="E5269" s="10" t="str">
        <f>"644020240513110848173764"</f>
        <v>644020240513110848173764</v>
      </c>
      <c r="F5269" s="9"/>
    </row>
    <row r="5270" s="2" customFormat="1" ht="30" customHeight="1" spans="1:6">
      <c r="A5270" s="9">
        <v>5267</v>
      </c>
      <c r="B5270" s="10" t="s">
        <v>4840</v>
      </c>
      <c r="C5270" s="10" t="s">
        <v>4841</v>
      </c>
      <c r="D5270" s="10" t="s">
        <v>5129</v>
      </c>
      <c r="E5270" s="10" t="str">
        <f>"644020240513111742173860"</f>
        <v>644020240513111742173860</v>
      </c>
      <c r="F5270" s="9"/>
    </row>
    <row r="5271" s="2" customFormat="1" ht="30" customHeight="1" spans="1:6">
      <c r="A5271" s="9">
        <v>5268</v>
      </c>
      <c r="B5271" s="10" t="s">
        <v>4840</v>
      </c>
      <c r="C5271" s="10" t="s">
        <v>4841</v>
      </c>
      <c r="D5271" s="10" t="s">
        <v>5130</v>
      </c>
      <c r="E5271" s="10" t="str">
        <f>"644020240513111049173786"</f>
        <v>644020240513111049173786</v>
      </c>
      <c r="F5271" s="9"/>
    </row>
    <row r="5272" s="2" customFormat="1" ht="30" customHeight="1" spans="1:6">
      <c r="A5272" s="9">
        <v>5269</v>
      </c>
      <c r="B5272" s="10" t="s">
        <v>4840</v>
      </c>
      <c r="C5272" s="10" t="s">
        <v>4841</v>
      </c>
      <c r="D5272" s="10" t="s">
        <v>5131</v>
      </c>
      <c r="E5272" s="10" t="str">
        <f>"644020240512203333170854"</f>
        <v>644020240512203333170854</v>
      </c>
      <c r="F5272" s="9"/>
    </row>
    <row r="5273" s="2" customFormat="1" ht="30" customHeight="1" spans="1:6">
      <c r="A5273" s="9">
        <v>5270</v>
      </c>
      <c r="B5273" s="10" t="s">
        <v>4840</v>
      </c>
      <c r="C5273" s="10" t="s">
        <v>4841</v>
      </c>
      <c r="D5273" s="10" t="s">
        <v>5132</v>
      </c>
      <c r="E5273" s="10" t="str">
        <f>"644020240513104522173555"</f>
        <v>644020240513104522173555</v>
      </c>
      <c r="F5273" s="9"/>
    </row>
    <row r="5274" s="2" customFormat="1" ht="30" customHeight="1" spans="1:6">
      <c r="A5274" s="9">
        <v>5271</v>
      </c>
      <c r="B5274" s="10" t="s">
        <v>4840</v>
      </c>
      <c r="C5274" s="10" t="s">
        <v>4841</v>
      </c>
      <c r="D5274" s="10" t="s">
        <v>5133</v>
      </c>
      <c r="E5274" s="10" t="str">
        <f>"644020240513104621173568"</f>
        <v>644020240513104621173568</v>
      </c>
      <c r="F5274" s="9"/>
    </row>
    <row r="5275" s="2" customFormat="1" ht="30" customHeight="1" spans="1:6">
      <c r="A5275" s="9">
        <v>5272</v>
      </c>
      <c r="B5275" s="10" t="s">
        <v>4840</v>
      </c>
      <c r="C5275" s="10" t="s">
        <v>4841</v>
      </c>
      <c r="D5275" s="10" t="s">
        <v>5134</v>
      </c>
      <c r="E5275" s="10" t="str">
        <f>"644020240513120048174142"</f>
        <v>644020240513120048174142</v>
      </c>
      <c r="F5275" s="9"/>
    </row>
    <row r="5276" s="2" customFormat="1" ht="30" customHeight="1" spans="1:6">
      <c r="A5276" s="9">
        <v>5273</v>
      </c>
      <c r="B5276" s="10" t="s">
        <v>4840</v>
      </c>
      <c r="C5276" s="10" t="s">
        <v>4841</v>
      </c>
      <c r="D5276" s="10" t="s">
        <v>5135</v>
      </c>
      <c r="E5276" s="10" t="str">
        <f>"644020240513115811174128"</f>
        <v>644020240513115811174128</v>
      </c>
      <c r="F5276" s="9"/>
    </row>
    <row r="5277" s="2" customFormat="1" ht="30" customHeight="1" spans="1:6">
      <c r="A5277" s="9">
        <v>5274</v>
      </c>
      <c r="B5277" s="10" t="s">
        <v>4840</v>
      </c>
      <c r="C5277" s="10" t="s">
        <v>4841</v>
      </c>
      <c r="D5277" s="10" t="s">
        <v>5136</v>
      </c>
      <c r="E5277" s="10" t="str">
        <f>"644020240512101836168488"</f>
        <v>644020240512101836168488</v>
      </c>
      <c r="F5277" s="9"/>
    </row>
    <row r="5278" s="2" customFormat="1" ht="30" customHeight="1" spans="1:6">
      <c r="A5278" s="9">
        <v>5275</v>
      </c>
      <c r="B5278" s="10" t="s">
        <v>4840</v>
      </c>
      <c r="C5278" s="10" t="s">
        <v>4841</v>
      </c>
      <c r="D5278" s="10" t="s">
        <v>5137</v>
      </c>
      <c r="E5278" s="10" t="str">
        <f>"644020240513115950174135"</f>
        <v>644020240513115950174135</v>
      </c>
      <c r="F5278" s="9"/>
    </row>
    <row r="5279" s="2" customFormat="1" ht="30" customHeight="1" spans="1:6">
      <c r="A5279" s="9">
        <v>5276</v>
      </c>
      <c r="B5279" s="10" t="s">
        <v>4840</v>
      </c>
      <c r="C5279" s="10" t="s">
        <v>4841</v>
      </c>
      <c r="D5279" s="10" t="s">
        <v>5138</v>
      </c>
      <c r="E5279" s="10" t="str">
        <f>"644020240513122113174255"</f>
        <v>644020240513122113174255</v>
      </c>
      <c r="F5279" s="9"/>
    </row>
    <row r="5280" s="2" customFormat="1" ht="30" customHeight="1" spans="1:6">
      <c r="A5280" s="9">
        <v>5277</v>
      </c>
      <c r="B5280" s="10" t="s">
        <v>4840</v>
      </c>
      <c r="C5280" s="10" t="s">
        <v>4841</v>
      </c>
      <c r="D5280" s="10" t="s">
        <v>5139</v>
      </c>
      <c r="E5280" s="10" t="str">
        <f>"644020240512090641168121"</f>
        <v>644020240512090641168121</v>
      </c>
      <c r="F5280" s="9"/>
    </row>
    <row r="5281" s="2" customFormat="1" ht="30" customHeight="1" spans="1:6">
      <c r="A5281" s="9">
        <v>5278</v>
      </c>
      <c r="B5281" s="10" t="s">
        <v>4840</v>
      </c>
      <c r="C5281" s="10" t="s">
        <v>4841</v>
      </c>
      <c r="D5281" s="10" t="s">
        <v>5140</v>
      </c>
      <c r="E5281" s="10" t="str">
        <f>"644020240513115158174105"</f>
        <v>644020240513115158174105</v>
      </c>
      <c r="F5281" s="9"/>
    </row>
    <row r="5282" s="2" customFormat="1" ht="30" customHeight="1" spans="1:6">
      <c r="A5282" s="9">
        <v>5279</v>
      </c>
      <c r="B5282" s="10" t="s">
        <v>4840</v>
      </c>
      <c r="C5282" s="10" t="s">
        <v>4841</v>
      </c>
      <c r="D5282" s="10" t="s">
        <v>5141</v>
      </c>
      <c r="E5282" s="10" t="str">
        <f>"644020240513122735174281"</f>
        <v>644020240513122735174281</v>
      </c>
      <c r="F5282" s="9"/>
    </row>
    <row r="5283" s="2" customFormat="1" ht="30" customHeight="1" spans="1:6">
      <c r="A5283" s="9">
        <v>5280</v>
      </c>
      <c r="B5283" s="10" t="s">
        <v>4840</v>
      </c>
      <c r="C5283" s="10" t="s">
        <v>4841</v>
      </c>
      <c r="D5283" s="10" t="s">
        <v>5142</v>
      </c>
      <c r="E5283" s="10" t="str">
        <f>"644020240513113923174030"</f>
        <v>644020240513113923174030</v>
      </c>
      <c r="F5283" s="9"/>
    </row>
    <row r="5284" s="2" customFormat="1" ht="30" customHeight="1" spans="1:6">
      <c r="A5284" s="9">
        <v>5281</v>
      </c>
      <c r="B5284" s="10" t="s">
        <v>4840</v>
      </c>
      <c r="C5284" s="10" t="s">
        <v>4841</v>
      </c>
      <c r="D5284" s="10" t="s">
        <v>5143</v>
      </c>
      <c r="E5284" s="10" t="str">
        <f>"644020240513115608174120"</f>
        <v>644020240513115608174120</v>
      </c>
      <c r="F5284" s="9"/>
    </row>
    <row r="5285" s="2" customFormat="1" ht="30" customHeight="1" spans="1:6">
      <c r="A5285" s="9">
        <v>5282</v>
      </c>
      <c r="B5285" s="10" t="s">
        <v>4840</v>
      </c>
      <c r="C5285" s="10" t="s">
        <v>4841</v>
      </c>
      <c r="D5285" s="10" t="s">
        <v>5144</v>
      </c>
      <c r="E5285" s="10" t="str">
        <f>"644020240513122818174285"</f>
        <v>644020240513122818174285</v>
      </c>
      <c r="F5285" s="9"/>
    </row>
    <row r="5286" s="2" customFormat="1" ht="30" customHeight="1" spans="1:6">
      <c r="A5286" s="9">
        <v>5283</v>
      </c>
      <c r="B5286" s="10" t="s">
        <v>4840</v>
      </c>
      <c r="C5286" s="10" t="s">
        <v>4841</v>
      </c>
      <c r="D5286" s="10" t="s">
        <v>5145</v>
      </c>
      <c r="E5286" s="10" t="str">
        <f>"644020240513123712174337"</f>
        <v>644020240513123712174337</v>
      </c>
      <c r="F5286" s="9"/>
    </row>
    <row r="5287" s="2" customFormat="1" ht="30" customHeight="1" spans="1:6">
      <c r="A5287" s="9">
        <v>5284</v>
      </c>
      <c r="B5287" s="10" t="s">
        <v>4840</v>
      </c>
      <c r="C5287" s="10" t="s">
        <v>4841</v>
      </c>
      <c r="D5287" s="10" t="s">
        <v>5146</v>
      </c>
      <c r="E5287" s="10" t="str">
        <f>"644020240512100123168397"</f>
        <v>644020240512100123168397</v>
      </c>
      <c r="F5287" s="9"/>
    </row>
    <row r="5288" s="2" customFormat="1" ht="30" customHeight="1" spans="1:6">
      <c r="A5288" s="9">
        <v>5285</v>
      </c>
      <c r="B5288" s="10" t="s">
        <v>4840</v>
      </c>
      <c r="C5288" s="10" t="s">
        <v>4841</v>
      </c>
      <c r="D5288" s="10" t="s">
        <v>5147</v>
      </c>
      <c r="E5288" s="10" t="str">
        <f>"644020240513124116174368"</f>
        <v>644020240513124116174368</v>
      </c>
      <c r="F5288" s="9"/>
    </row>
    <row r="5289" s="2" customFormat="1" ht="30" customHeight="1" spans="1:6">
      <c r="A5289" s="9">
        <v>5286</v>
      </c>
      <c r="B5289" s="10" t="s">
        <v>4840</v>
      </c>
      <c r="C5289" s="10" t="s">
        <v>4841</v>
      </c>
      <c r="D5289" s="10" t="s">
        <v>5148</v>
      </c>
      <c r="E5289" s="10" t="str">
        <f>"644020240513122507174268"</f>
        <v>644020240513122507174268</v>
      </c>
      <c r="F5289" s="9"/>
    </row>
    <row r="5290" s="2" customFormat="1" ht="30" customHeight="1" spans="1:6">
      <c r="A5290" s="9">
        <v>5287</v>
      </c>
      <c r="B5290" s="10" t="s">
        <v>4840</v>
      </c>
      <c r="C5290" s="10" t="s">
        <v>4841</v>
      </c>
      <c r="D5290" s="10" t="s">
        <v>5149</v>
      </c>
      <c r="E5290" s="10" t="str">
        <f>"644020240512223957171550"</f>
        <v>644020240512223957171550</v>
      </c>
      <c r="F5290" s="9"/>
    </row>
    <row r="5291" s="2" customFormat="1" ht="30" customHeight="1" spans="1:6">
      <c r="A5291" s="9">
        <v>5288</v>
      </c>
      <c r="B5291" s="10" t="s">
        <v>4840</v>
      </c>
      <c r="C5291" s="10" t="s">
        <v>4841</v>
      </c>
      <c r="D5291" s="10" t="s">
        <v>5150</v>
      </c>
      <c r="E5291" s="10" t="str">
        <f>"644020240513124835174434"</f>
        <v>644020240513124835174434</v>
      </c>
      <c r="F5291" s="9"/>
    </row>
    <row r="5292" s="2" customFormat="1" ht="30" customHeight="1" spans="1:6">
      <c r="A5292" s="9">
        <v>5289</v>
      </c>
      <c r="B5292" s="10" t="s">
        <v>4840</v>
      </c>
      <c r="C5292" s="10" t="s">
        <v>4841</v>
      </c>
      <c r="D5292" s="10" t="s">
        <v>5151</v>
      </c>
      <c r="E5292" s="10" t="str">
        <f>"644020240513101334173247"</f>
        <v>644020240513101334173247</v>
      </c>
      <c r="F5292" s="9"/>
    </row>
    <row r="5293" s="2" customFormat="1" ht="30" customHeight="1" spans="1:6">
      <c r="A5293" s="9">
        <v>5290</v>
      </c>
      <c r="B5293" s="10" t="s">
        <v>4840</v>
      </c>
      <c r="C5293" s="10" t="s">
        <v>4841</v>
      </c>
      <c r="D5293" s="10" t="s">
        <v>5152</v>
      </c>
      <c r="E5293" s="10" t="str">
        <f>"644020240513123646174336"</f>
        <v>644020240513123646174336</v>
      </c>
      <c r="F5293" s="9"/>
    </row>
    <row r="5294" s="2" customFormat="1" ht="30" customHeight="1" spans="1:6">
      <c r="A5294" s="9">
        <v>5291</v>
      </c>
      <c r="B5294" s="10" t="s">
        <v>4840</v>
      </c>
      <c r="C5294" s="10" t="s">
        <v>4841</v>
      </c>
      <c r="D5294" s="10" t="s">
        <v>5153</v>
      </c>
      <c r="E5294" s="10" t="str">
        <f>"644020240513112943173957"</f>
        <v>644020240513112943173957</v>
      </c>
      <c r="F5294" s="9"/>
    </row>
    <row r="5295" s="2" customFormat="1" ht="30" customHeight="1" spans="1:6">
      <c r="A5295" s="9">
        <v>5292</v>
      </c>
      <c r="B5295" s="10" t="s">
        <v>4840</v>
      </c>
      <c r="C5295" s="10" t="s">
        <v>4841</v>
      </c>
      <c r="D5295" s="10" t="s">
        <v>5154</v>
      </c>
      <c r="E5295" s="10" t="str">
        <f>"644020240513121106174194"</f>
        <v>644020240513121106174194</v>
      </c>
      <c r="F5295" s="9"/>
    </row>
    <row r="5296" s="2" customFormat="1" ht="30" customHeight="1" spans="1:6">
      <c r="A5296" s="9">
        <v>5293</v>
      </c>
      <c r="B5296" s="10" t="s">
        <v>4840</v>
      </c>
      <c r="C5296" s="10" t="s">
        <v>4841</v>
      </c>
      <c r="D5296" s="10" t="s">
        <v>5155</v>
      </c>
      <c r="E5296" s="10" t="str">
        <f>"644020240513120654174172"</f>
        <v>644020240513120654174172</v>
      </c>
      <c r="F5296" s="9"/>
    </row>
    <row r="5297" s="2" customFormat="1" ht="30" customHeight="1" spans="1:6">
      <c r="A5297" s="9">
        <v>5294</v>
      </c>
      <c r="B5297" s="10" t="s">
        <v>4840</v>
      </c>
      <c r="C5297" s="10" t="s">
        <v>4841</v>
      </c>
      <c r="D5297" s="10" t="s">
        <v>5156</v>
      </c>
      <c r="E5297" s="10" t="str">
        <f>"644020240513111212173804"</f>
        <v>644020240513111212173804</v>
      </c>
      <c r="F5297" s="9"/>
    </row>
    <row r="5298" s="2" customFormat="1" ht="30" customHeight="1" spans="1:6">
      <c r="A5298" s="9">
        <v>5295</v>
      </c>
      <c r="B5298" s="10" t="s">
        <v>4840</v>
      </c>
      <c r="C5298" s="10" t="s">
        <v>4841</v>
      </c>
      <c r="D5298" s="10" t="s">
        <v>5157</v>
      </c>
      <c r="E5298" s="10" t="str">
        <f>"644020240513122603174274"</f>
        <v>644020240513122603174274</v>
      </c>
      <c r="F5298" s="9"/>
    </row>
    <row r="5299" s="2" customFormat="1" ht="30" customHeight="1" spans="1:6">
      <c r="A5299" s="9">
        <v>5296</v>
      </c>
      <c r="B5299" s="10" t="s">
        <v>4840</v>
      </c>
      <c r="C5299" s="10" t="s">
        <v>4841</v>
      </c>
      <c r="D5299" s="10" t="s">
        <v>5158</v>
      </c>
      <c r="E5299" s="10" t="str">
        <f>"644020240513125249174465"</f>
        <v>644020240513125249174465</v>
      </c>
      <c r="F5299" s="9"/>
    </row>
    <row r="5300" s="2" customFormat="1" ht="30" customHeight="1" spans="1:6">
      <c r="A5300" s="9">
        <v>5297</v>
      </c>
      <c r="B5300" s="10" t="s">
        <v>4840</v>
      </c>
      <c r="C5300" s="10" t="s">
        <v>4841</v>
      </c>
      <c r="D5300" s="10" t="s">
        <v>5159</v>
      </c>
      <c r="E5300" s="10" t="str">
        <f>"644020240512204913170931"</f>
        <v>644020240512204913170931</v>
      </c>
      <c r="F5300" s="9"/>
    </row>
    <row r="5301" s="2" customFormat="1" ht="30" customHeight="1" spans="1:6">
      <c r="A5301" s="9">
        <v>5298</v>
      </c>
      <c r="B5301" s="10" t="s">
        <v>4840</v>
      </c>
      <c r="C5301" s="10" t="s">
        <v>4841</v>
      </c>
      <c r="D5301" s="10" t="s">
        <v>5160</v>
      </c>
      <c r="E5301" s="10" t="str">
        <f>"644020240513122955174295"</f>
        <v>644020240513122955174295</v>
      </c>
      <c r="F5301" s="9"/>
    </row>
    <row r="5302" s="2" customFormat="1" ht="30" customHeight="1" spans="1:6">
      <c r="A5302" s="9">
        <v>5299</v>
      </c>
      <c r="B5302" s="10" t="s">
        <v>4840</v>
      </c>
      <c r="C5302" s="10" t="s">
        <v>4841</v>
      </c>
      <c r="D5302" s="10" t="s">
        <v>5161</v>
      </c>
      <c r="E5302" s="10" t="str">
        <f>"644020240513132909174651"</f>
        <v>644020240513132909174651</v>
      </c>
      <c r="F5302" s="9"/>
    </row>
    <row r="5303" s="2" customFormat="1" ht="30" customHeight="1" spans="1:6">
      <c r="A5303" s="9">
        <v>5300</v>
      </c>
      <c r="B5303" s="10" t="s">
        <v>4840</v>
      </c>
      <c r="C5303" s="10" t="s">
        <v>4841</v>
      </c>
      <c r="D5303" s="10" t="s">
        <v>5162</v>
      </c>
      <c r="E5303" s="10" t="str">
        <f>"644020240513132131174620"</f>
        <v>644020240513132131174620</v>
      </c>
      <c r="F5303" s="9"/>
    </row>
    <row r="5304" s="2" customFormat="1" ht="30" customHeight="1" spans="1:6">
      <c r="A5304" s="9">
        <v>5301</v>
      </c>
      <c r="B5304" s="10" t="s">
        <v>4840</v>
      </c>
      <c r="C5304" s="10" t="s">
        <v>4841</v>
      </c>
      <c r="D5304" s="10" t="s">
        <v>5163</v>
      </c>
      <c r="E5304" s="10" t="str">
        <f>"644020240513133350174684"</f>
        <v>644020240513133350174684</v>
      </c>
      <c r="F5304" s="9"/>
    </row>
    <row r="5305" s="2" customFormat="1" ht="30" customHeight="1" spans="1:6">
      <c r="A5305" s="9">
        <v>5302</v>
      </c>
      <c r="B5305" s="10" t="s">
        <v>4840</v>
      </c>
      <c r="C5305" s="10" t="s">
        <v>4841</v>
      </c>
      <c r="D5305" s="10" t="s">
        <v>5164</v>
      </c>
      <c r="E5305" s="10" t="str">
        <f>"644020240512180831170336"</f>
        <v>644020240512180831170336</v>
      </c>
      <c r="F5305" s="9"/>
    </row>
    <row r="5306" s="2" customFormat="1" ht="30" customHeight="1" spans="1:6">
      <c r="A5306" s="9">
        <v>5303</v>
      </c>
      <c r="B5306" s="10" t="s">
        <v>4840</v>
      </c>
      <c r="C5306" s="10" t="s">
        <v>4841</v>
      </c>
      <c r="D5306" s="10" t="s">
        <v>5165</v>
      </c>
      <c r="E5306" s="10" t="str">
        <f>"644020240513142348174927"</f>
        <v>644020240513142348174927</v>
      </c>
      <c r="F5306" s="9"/>
    </row>
    <row r="5307" s="2" customFormat="1" ht="30" customHeight="1" spans="1:6">
      <c r="A5307" s="9">
        <v>5304</v>
      </c>
      <c r="B5307" s="10" t="s">
        <v>4840</v>
      </c>
      <c r="C5307" s="10" t="s">
        <v>4841</v>
      </c>
      <c r="D5307" s="10" t="s">
        <v>5166</v>
      </c>
      <c r="E5307" s="10" t="str">
        <f>"644020240512150554169668"</f>
        <v>644020240512150554169668</v>
      </c>
      <c r="F5307" s="9"/>
    </row>
    <row r="5308" s="2" customFormat="1" ht="30" customHeight="1" spans="1:6">
      <c r="A5308" s="9">
        <v>5305</v>
      </c>
      <c r="B5308" s="10" t="s">
        <v>4840</v>
      </c>
      <c r="C5308" s="10" t="s">
        <v>4841</v>
      </c>
      <c r="D5308" s="10" t="s">
        <v>5167</v>
      </c>
      <c r="E5308" s="10" t="str">
        <f>"644020240513112841173952"</f>
        <v>644020240513112841173952</v>
      </c>
      <c r="F5308" s="9"/>
    </row>
    <row r="5309" s="2" customFormat="1" ht="30" customHeight="1" spans="1:6">
      <c r="A5309" s="9">
        <v>5306</v>
      </c>
      <c r="B5309" s="10" t="s">
        <v>4840</v>
      </c>
      <c r="C5309" s="10" t="s">
        <v>4841</v>
      </c>
      <c r="D5309" s="10" t="s">
        <v>298</v>
      </c>
      <c r="E5309" s="10" t="str">
        <f>"644020240513142551174939"</f>
        <v>644020240513142551174939</v>
      </c>
      <c r="F5309" s="9"/>
    </row>
    <row r="5310" s="2" customFormat="1" ht="30" customHeight="1" spans="1:6">
      <c r="A5310" s="9">
        <v>5307</v>
      </c>
      <c r="B5310" s="10" t="s">
        <v>4840</v>
      </c>
      <c r="C5310" s="10" t="s">
        <v>4841</v>
      </c>
      <c r="D5310" s="10" t="s">
        <v>5168</v>
      </c>
      <c r="E5310" s="10" t="str">
        <f>"644020240513134546174735"</f>
        <v>644020240513134546174735</v>
      </c>
      <c r="F5310" s="9"/>
    </row>
    <row r="5311" s="2" customFormat="1" ht="30" customHeight="1" spans="1:6">
      <c r="A5311" s="9">
        <v>5308</v>
      </c>
      <c r="B5311" s="10" t="s">
        <v>4840</v>
      </c>
      <c r="C5311" s="10" t="s">
        <v>4841</v>
      </c>
      <c r="D5311" s="10" t="s">
        <v>5169</v>
      </c>
      <c r="E5311" s="10" t="str">
        <f>"644020240513142806174961"</f>
        <v>644020240513142806174961</v>
      </c>
      <c r="F5311" s="9"/>
    </row>
    <row r="5312" s="2" customFormat="1" ht="30" customHeight="1" spans="1:6">
      <c r="A5312" s="9">
        <v>5309</v>
      </c>
      <c r="B5312" s="10" t="s">
        <v>4840</v>
      </c>
      <c r="C5312" s="10" t="s">
        <v>4841</v>
      </c>
      <c r="D5312" s="10" t="s">
        <v>5170</v>
      </c>
      <c r="E5312" s="10" t="str">
        <f>"644020240513141213174853"</f>
        <v>644020240513141213174853</v>
      </c>
      <c r="F5312" s="9"/>
    </row>
    <row r="5313" s="2" customFormat="1" ht="30" customHeight="1" spans="1:6">
      <c r="A5313" s="9">
        <v>5310</v>
      </c>
      <c r="B5313" s="10" t="s">
        <v>4840</v>
      </c>
      <c r="C5313" s="10" t="s">
        <v>4841</v>
      </c>
      <c r="D5313" s="10" t="s">
        <v>5171</v>
      </c>
      <c r="E5313" s="10" t="str">
        <f>"644020240512140459169468"</f>
        <v>644020240512140459169468</v>
      </c>
      <c r="F5313" s="9"/>
    </row>
    <row r="5314" s="2" customFormat="1" ht="30" customHeight="1" spans="1:6">
      <c r="A5314" s="9">
        <v>5311</v>
      </c>
      <c r="B5314" s="10" t="s">
        <v>4840</v>
      </c>
      <c r="C5314" s="10" t="s">
        <v>4841</v>
      </c>
      <c r="D5314" s="10" t="s">
        <v>5172</v>
      </c>
      <c r="E5314" s="10" t="str">
        <f>"644020240513143708175012"</f>
        <v>644020240513143708175012</v>
      </c>
      <c r="F5314" s="9"/>
    </row>
    <row r="5315" s="2" customFormat="1" ht="30" customHeight="1" spans="1:6">
      <c r="A5315" s="9">
        <v>5312</v>
      </c>
      <c r="B5315" s="10" t="s">
        <v>4840</v>
      </c>
      <c r="C5315" s="10" t="s">
        <v>4841</v>
      </c>
      <c r="D5315" s="10" t="s">
        <v>5173</v>
      </c>
      <c r="E5315" s="10" t="str">
        <f>"644020240513093620172873"</f>
        <v>644020240513093620172873</v>
      </c>
      <c r="F5315" s="9"/>
    </row>
    <row r="5316" s="2" customFormat="1" ht="30" customHeight="1" spans="1:6">
      <c r="A5316" s="9">
        <v>5313</v>
      </c>
      <c r="B5316" s="10" t="s">
        <v>4840</v>
      </c>
      <c r="C5316" s="10" t="s">
        <v>4841</v>
      </c>
      <c r="D5316" s="10" t="s">
        <v>5174</v>
      </c>
      <c r="E5316" s="10" t="str">
        <f>"644020240513134015174711"</f>
        <v>644020240513134015174711</v>
      </c>
      <c r="F5316" s="9"/>
    </row>
    <row r="5317" s="2" customFormat="1" ht="30" customHeight="1" spans="1:6">
      <c r="A5317" s="9">
        <v>5314</v>
      </c>
      <c r="B5317" s="10" t="s">
        <v>4840</v>
      </c>
      <c r="C5317" s="10" t="s">
        <v>4841</v>
      </c>
      <c r="D5317" s="10" t="s">
        <v>5175</v>
      </c>
      <c r="E5317" s="10" t="str">
        <f>"644020240513143732175017"</f>
        <v>644020240513143732175017</v>
      </c>
      <c r="F5317" s="9"/>
    </row>
    <row r="5318" s="2" customFormat="1" ht="30" customHeight="1" spans="1:6">
      <c r="A5318" s="9">
        <v>5315</v>
      </c>
      <c r="B5318" s="10" t="s">
        <v>4840</v>
      </c>
      <c r="C5318" s="10" t="s">
        <v>4841</v>
      </c>
      <c r="D5318" s="10" t="s">
        <v>5176</v>
      </c>
      <c r="E5318" s="10" t="str">
        <f>"644020240513143852175027"</f>
        <v>644020240513143852175027</v>
      </c>
      <c r="F5318" s="9"/>
    </row>
    <row r="5319" s="2" customFormat="1" ht="30" customHeight="1" spans="1:6">
      <c r="A5319" s="9">
        <v>5316</v>
      </c>
      <c r="B5319" s="10" t="s">
        <v>4840</v>
      </c>
      <c r="C5319" s="10" t="s">
        <v>4841</v>
      </c>
      <c r="D5319" s="10" t="s">
        <v>5177</v>
      </c>
      <c r="E5319" s="10" t="str">
        <f>"644020240513143138174985"</f>
        <v>644020240513143138174985</v>
      </c>
      <c r="F5319" s="9"/>
    </row>
    <row r="5320" s="2" customFormat="1" ht="30" customHeight="1" spans="1:6">
      <c r="A5320" s="9">
        <v>5317</v>
      </c>
      <c r="B5320" s="10" t="s">
        <v>4840</v>
      </c>
      <c r="C5320" s="10" t="s">
        <v>4841</v>
      </c>
      <c r="D5320" s="10" t="s">
        <v>5178</v>
      </c>
      <c r="E5320" s="10" t="str">
        <f>"644020240513145448175143"</f>
        <v>644020240513145448175143</v>
      </c>
      <c r="F5320" s="9"/>
    </row>
    <row r="5321" s="2" customFormat="1" ht="30" customHeight="1" spans="1:6">
      <c r="A5321" s="9">
        <v>5318</v>
      </c>
      <c r="B5321" s="10" t="s">
        <v>4840</v>
      </c>
      <c r="C5321" s="10" t="s">
        <v>4841</v>
      </c>
      <c r="D5321" s="10" t="s">
        <v>5179</v>
      </c>
      <c r="E5321" s="10" t="str">
        <f>"644020240513143123174984"</f>
        <v>644020240513143123174984</v>
      </c>
      <c r="F5321" s="9"/>
    </row>
    <row r="5322" s="2" customFormat="1" ht="30" customHeight="1" spans="1:6">
      <c r="A5322" s="9">
        <v>5319</v>
      </c>
      <c r="B5322" s="10" t="s">
        <v>4840</v>
      </c>
      <c r="C5322" s="10" t="s">
        <v>4841</v>
      </c>
      <c r="D5322" s="10" t="s">
        <v>5180</v>
      </c>
      <c r="E5322" s="10" t="str">
        <f>"644020240513145817175166"</f>
        <v>644020240513145817175166</v>
      </c>
      <c r="F5322" s="9"/>
    </row>
    <row r="5323" s="2" customFormat="1" ht="30" customHeight="1" spans="1:6">
      <c r="A5323" s="9">
        <v>5320</v>
      </c>
      <c r="B5323" s="10" t="s">
        <v>4840</v>
      </c>
      <c r="C5323" s="10" t="s">
        <v>4841</v>
      </c>
      <c r="D5323" s="10" t="s">
        <v>5181</v>
      </c>
      <c r="E5323" s="10" t="str">
        <f>"644020240513143744175020"</f>
        <v>644020240513143744175020</v>
      </c>
      <c r="F5323" s="9"/>
    </row>
    <row r="5324" s="2" customFormat="1" ht="30" customHeight="1" spans="1:6">
      <c r="A5324" s="9">
        <v>5321</v>
      </c>
      <c r="B5324" s="10" t="s">
        <v>4840</v>
      </c>
      <c r="C5324" s="10" t="s">
        <v>4841</v>
      </c>
      <c r="D5324" s="10" t="s">
        <v>5182</v>
      </c>
      <c r="E5324" s="10" t="str">
        <f>"644020240513151216175292"</f>
        <v>644020240513151216175292</v>
      </c>
      <c r="F5324" s="9"/>
    </row>
    <row r="5325" s="2" customFormat="1" ht="30" customHeight="1" spans="1:6">
      <c r="A5325" s="9">
        <v>5322</v>
      </c>
      <c r="B5325" s="10" t="s">
        <v>4840</v>
      </c>
      <c r="C5325" s="10" t="s">
        <v>4841</v>
      </c>
      <c r="D5325" s="10" t="s">
        <v>5183</v>
      </c>
      <c r="E5325" s="10" t="str">
        <f>"644020240513140131174800"</f>
        <v>644020240513140131174800</v>
      </c>
      <c r="F5325" s="9"/>
    </row>
    <row r="5326" s="2" customFormat="1" ht="30" customHeight="1" spans="1:6">
      <c r="A5326" s="9">
        <v>5323</v>
      </c>
      <c r="B5326" s="10" t="s">
        <v>4840</v>
      </c>
      <c r="C5326" s="10" t="s">
        <v>4841</v>
      </c>
      <c r="D5326" s="10" t="s">
        <v>5184</v>
      </c>
      <c r="E5326" s="10" t="str">
        <f>"644020240513145307175131"</f>
        <v>644020240513145307175131</v>
      </c>
      <c r="F5326" s="9"/>
    </row>
    <row r="5327" s="2" customFormat="1" ht="30" customHeight="1" spans="1:6">
      <c r="A5327" s="9">
        <v>5324</v>
      </c>
      <c r="B5327" s="10" t="s">
        <v>4840</v>
      </c>
      <c r="C5327" s="10" t="s">
        <v>4841</v>
      </c>
      <c r="D5327" s="10" t="s">
        <v>5185</v>
      </c>
      <c r="E5327" s="10" t="str">
        <f>"644020240513151433175320"</f>
        <v>644020240513151433175320</v>
      </c>
      <c r="F5327" s="9"/>
    </row>
    <row r="5328" s="2" customFormat="1" ht="30" customHeight="1" spans="1:6">
      <c r="A5328" s="9">
        <v>5325</v>
      </c>
      <c r="B5328" s="10" t="s">
        <v>4840</v>
      </c>
      <c r="C5328" s="10" t="s">
        <v>4841</v>
      </c>
      <c r="D5328" s="10" t="s">
        <v>4983</v>
      </c>
      <c r="E5328" s="10" t="str">
        <f>"644020240513112533173930"</f>
        <v>644020240513112533173930</v>
      </c>
      <c r="F5328" s="9"/>
    </row>
    <row r="5329" s="2" customFormat="1" ht="30" customHeight="1" spans="1:6">
      <c r="A5329" s="9">
        <v>5326</v>
      </c>
      <c r="B5329" s="10" t="s">
        <v>4840</v>
      </c>
      <c r="C5329" s="10" t="s">
        <v>4841</v>
      </c>
      <c r="D5329" s="10" t="s">
        <v>5186</v>
      </c>
      <c r="E5329" s="10" t="str">
        <f>"644020240513145950175186"</f>
        <v>644020240513145950175186</v>
      </c>
      <c r="F5329" s="9"/>
    </row>
    <row r="5330" s="2" customFormat="1" ht="30" customHeight="1" spans="1:6">
      <c r="A5330" s="9">
        <v>5327</v>
      </c>
      <c r="B5330" s="10" t="s">
        <v>4840</v>
      </c>
      <c r="C5330" s="10" t="s">
        <v>4841</v>
      </c>
      <c r="D5330" s="10" t="s">
        <v>5187</v>
      </c>
      <c r="E5330" s="10" t="str">
        <f>"644020240513151339175311"</f>
        <v>644020240513151339175311</v>
      </c>
      <c r="F5330" s="9"/>
    </row>
    <row r="5331" s="2" customFormat="1" ht="30" customHeight="1" spans="1:6">
      <c r="A5331" s="9">
        <v>5328</v>
      </c>
      <c r="B5331" s="10" t="s">
        <v>4840</v>
      </c>
      <c r="C5331" s="10" t="s">
        <v>4841</v>
      </c>
      <c r="D5331" s="10" t="s">
        <v>5188</v>
      </c>
      <c r="E5331" s="10" t="str">
        <f>"644020240513083545172325"</f>
        <v>644020240513083545172325</v>
      </c>
      <c r="F5331" s="9"/>
    </row>
    <row r="5332" s="2" customFormat="1" ht="30" customHeight="1" spans="1:6">
      <c r="A5332" s="9">
        <v>5329</v>
      </c>
      <c r="B5332" s="10" t="s">
        <v>4840</v>
      </c>
      <c r="C5332" s="10" t="s">
        <v>4841</v>
      </c>
      <c r="D5332" s="10" t="s">
        <v>5189</v>
      </c>
      <c r="E5332" s="10" t="str">
        <f>"644020240512123905169162"</f>
        <v>644020240512123905169162</v>
      </c>
      <c r="F5332" s="9"/>
    </row>
    <row r="5333" s="2" customFormat="1" ht="30" customHeight="1" spans="1:6">
      <c r="A5333" s="9">
        <v>5330</v>
      </c>
      <c r="B5333" s="10" t="s">
        <v>4840</v>
      </c>
      <c r="C5333" s="10" t="s">
        <v>4841</v>
      </c>
      <c r="D5333" s="10" t="s">
        <v>5190</v>
      </c>
      <c r="E5333" s="10" t="str">
        <f>"644020240513083028172297"</f>
        <v>644020240513083028172297</v>
      </c>
      <c r="F5333" s="9"/>
    </row>
    <row r="5334" s="2" customFormat="1" ht="30" customHeight="1" spans="1:6">
      <c r="A5334" s="9">
        <v>5331</v>
      </c>
      <c r="B5334" s="10" t="s">
        <v>4840</v>
      </c>
      <c r="C5334" s="10" t="s">
        <v>4841</v>
      </c>
      <c r="D5334" s="10" t="s">
        <v>5191</v>
      </c>
      <c r="E5334" s="10" t="str">
        <f>"644020240513152923175458"</f>
        <v>644020240513152923175458</v>
      </c>
      <c r="F5334" s="9"/>
    </row>
    <row r="5335" s="2" customFormat="1" ht="30" customHeight="1" spans="1:6">
      <c r="A5335" s="9">
        <v>5332</v>
      </c>
      <c r="B5335" s="10" t="s">
        <v>4840</v>
      </c>
      <c r="C5335" s="10" t="s">
        <v>4841</v>
      </c>
      <c r="D5335" s="10" t="s">
        <v>5192</v>
      </c>
      <c r="E5335" s="10" t="str">
        <f>"644020240513103136173437"</f>
        <v>644020240513103136173437</v>
      </c>
      <c r="F5335" s="9"/>
    </row>
    <row r="5336" s="2" customFormat="1" ht="30" customHeight="1" spans="1:6">
      <c r="A5336" s="9">
        <v>5333</v>
      </c>
      <c r="B5336" s="10" t="s">
        <v>4840</v>
      </c>
      <c r="C5336" s="10" t="s">
        <v>4841</v>
      </c>
      <c r="D5336" s="10" t="s">
        <v>5193</v>
      </c>
      <c r="E5336" s="10" t="str">
        <f>"644020240513153429175512"</f>
        <v>644020240513153429175512</v>
      </c>
      <c r="F5336" s="9"/>
    </row>
    <row r="5337" s="2" customFormat="1" ht="30" customHeight="1" spans="1:6">
      <c r="A5337" s="9">
        <v>5334</v>
      </c>
      <c r="B5337" s="10" t="s">
        <v>4840</v>
      </c>
      <c r="C5337" s="10" t="s">
        <v>4841</v>
      </c>
      <c r="D5337" s="10" t="s">
        <v>1383</v>
      </c>
      <c r="E5337" s="10" t="str">
        <f>"644020240513143556175009"</f>
        <v>644020240513143556175009</v>
      </c>
      <c r="F5337" s="9"/>
    </row>
    <row r="5338" s="2" customFormat="1" ht="30" customHeight="1" spans="1:6">
      <c r="A5338" s="9">
        <v>5335</v>
      </c>
      <c r="B5338" s="10" t="s">
        <v>4840</v>
      </c>
      <c r="C5338" s="10" t="s">
        <v>4841</v>
      </c>
      <c r="D5338" s="10" t="s">
        <v>5194</v>
      </c>
      <c r="E5338" s="10" t="str">
        <f>"644020240513093803172890"</f>
        <v>644020240513093803172890</v>
      </c>
      <c r="F5338" s="9"/>
    </row>
    <row r="5339" s="2" customFormat="1" ht="30" customHeight="1" spans="1:6">
      <c r="A5339" s="9">
        <v>5336</v>
      </c>
      <c r="B5339" s="10" t="s">
        <v>4840</v>
      </c>
      <c r="C5339" s="10" t="s">
        <v>4841</v>
      </c>
      <c r="D5339" s="10" t="s">
        <v>5195</v>
      </c>
      <c r="E5339" s="10" t="str">
        <f>"644020240513154517175620"</f>
        <v>644020240513154517175620</v>
      </c>
      <c r="F5339" s="9"/>
    </row>
    <row r="5340" s="2" customFormat="1" ht="30" customHeight="1" spans="1:6">
      <c r="A5340" s="9">
        <v>5337</v>
      </c>
      <c r="B5340" s="10" t="s">
        <v>4840</v>
      </c>
      <c r="C5340" s="10" t="s">
        <v>4841</v>
      </c>
      <c r="D5340" s="10" t="s">
        <v>5196</v>
      </c>
      <c r="E5340" s="10" t="str">
        <f>"644020240513153853175553"</f>
        <v>644020240513153853175553</v>
      </c>
      <c r="F5340" s="9"/>
    </row>
    <row r="5341" s="2" customFormat="1" ht="30" customHeight="1" spans="1:6">
      <c r="A5341" s="9">
        <v>5338</v>
      </c>
      <c r="B5341" s="10" t="s">
        <v>4840</v>
      </c>
      <c r="C5341" s="10" t="s">
        <v>4841</v>
      </c>
      <c r="D5341" s="10" t="s">
        <v>5197</v>
      </c>
      <c r="E5341" s="10" t="str">
        <f>"644020240513151107175283"</f>
        <v>644020240513151107175283</v>
      </c>
      <c r="F5341" s="9"/>
    </row>
    <row r="5342" s="2" customFormat="1" ht="30" customHeight="1" spans="1:6">
      <c r="A5342" s="9">
        <v>5339</v>
      </c>
      <c r="B5342" s="10" t="s">
        <v>4840</v>
      </c>
      <c r="C5342" s="10" t="s">
        <v>4841</v>
      </c>
      <c r="D5342" s="10" t="s">
        <v>5198</v>
      </c>
      <c r="E5342" s="10" t="str">
        <f>"644020240513155256175716"</f>
        <v>644020240513155256175716</v>
      </c>
      <c r="F5342" s="9"/>
    </row>
    <row r="5343" s="2" customFormat="1" ht="30" customHeight="1" spans="1:6">
      <c r="A5343" s="9">
        <v>5340</v>
      </c>
      <c r="B5343" s="10" t="s">
        <v>4840</v>
      </c>
      <c r="C5343" s="10" t="s">
        <v>4841</v>
      </c>
      <c r="D5343" s="10" t="s">
        <v>5199</v>
      </c>
      <c r="E5343" s="10" t="str">
        <f>"644020240513104648173574"</f>
        <v>644020240513104648173574</v>
      </c>
      <c r="F5343" s="9"/>
    </row>
    <row r="5344" s="2" customFormat="1" ht="30" customHeight="1" spans="1:6">
      <c r="A5344" s="9">
        <v>5341</v>
      </c>
      <c r="B5344" s="10" t="s">
        <v>4840</v>
      </c>
      <c r="C5344" s="10" t="s">
        <v>4841</v>
      </c>
      <c r="D5344" s="10" t="s">
        <v>5200</v>
      </c>
      <c r="E5344" s="10" t="str">
        <f>"644020240513155526175744"</f>
        <v>644020240513155526175744</v>
      </c>
      <c r="F5344" s="9"/>
    </row>
    <row r="5345" s="2" customFormat="1" ht="30" customHeight="1" spans="1:6">
      <c r="A5345" s="9">
        <v>5342</v>
      </c>
      <c r="B5345" s="10" t="s">
        <v>4840</v>
      </c>
      <c r="C5345" s="10" t="s">
        <v>4841</v>
      </c>
      <c r="D5345" s="10" t="s">
        <v>5201</v>
      </c>
      <c r="E5345" s="10" t="str">
        <f>"644020240512191944170563"</f>
        <v>644020240512191944170563</v>
      </c>
      <c r="F5345" s="9"/>
    </row>
    <row r="5346" s="2" customFormat="1" ht="30" customHeight="1" spans="1:6">
      <c r="A5346" s="9">
        <v>5343</v>
      </c>
      <c r="B5346" s="10" t="s">
        <v>4840</v>
      </c>
      <c r="C5346" s="10" t="s">
        <v>4841</v>
      </c>
      <c r="D5346" s="10" t="s">
        <v>5202</v>
      </c>
      <c r="E5346" s="10" t="str">
        <f>"644020240513153919175559"</f>
        <v>644020240513153919175559</v>
      </c>
      <c r="F5346" s="9"/>
    </row>
    <row r="5347" s="2" customFormat="1" ht="30" customHeight="1" spans="1:6">
      <c r="A5347" s="9">
        <v>5344</v>
      </c>
      <c r="B5347" s="10" t="s">
        <v>4840</v>
      </c>
      <c r="C5347" s="10" t="s">
        <v>4841</v>
      </c>
      <c r="D5347" s="10" t="s">
        <v>5203</v>
      </c>
      <c r="E5347" s="10" t="str">
        <f>"644020240513153205175487"</f>
        <v>644020240513153205175487</v>
      </c>
      <c r="F5347" s="9"/>
    </row>
    <row r="5348" s="2" customFormat="1" ht="30" customHeight="1" spans="1:6">
      <c r="A5348" s="9">
        <v>5345</v>
      </c>
      <c r="B5348" s="10" t="s">
        <v>4840</v>
      </c>
      <c r="C5348" s="10" t="s">
        <v>4841</v>
      </c>
      <c r="D5348" s="10" t="s">
        <v>5204</v>
      </c>
      <c r="E5348" s="10" t="str">
        <f>"644020240513144406175064"</f>
        <v>644020240513144406175064</v>
      </c>
      <c r="F5348" s="9"/>
    </row>
    <row r="5349" s="2" customFormat="1" ht="30" customHeight="1" spans="1:6">
      <c r="A5349" s="9">
        <v>5346</v>
      </c>
      <c r="B5349" s="10" t="s">
        <v>4840</v>
      </c>
      <c r="C5349" s="10" t="s">
        <v>4841</v>
      </c>
      <c r="D5349" s="10" t="s">
        <v>5205</v>
      </c>
      <c r="E5349" s="10" t="str">
        <f>"644020240513081633172233"</f>
        <v>644020240513081633172233</v>
      </c>
      <c r="F5349" s="9"/>
    </row>
    <row r="5350" s="2" customFormat="1" ht="30" customHeight="1" spans="1:6">
      <c r="A5350" s="9">
        <v>5347</v>
      </c>
      <c r="B5350" s="10" t="s">
        <v>4840</v>
      </c>
      <c r="C5350" s="10" t="s">
        <v>4841</v>
      </c>
      <c r="D5350" s="10" t="s">
        <v>5206</v>
      </c>
      <c r="E5350" s="10" t="str">
        <f>"644020240513154040175575"</f>
        <v>644020240513154040175575</v>
      </c>
      <c r="F5350" s="9"/>
    </row>
    <row r="5351" s="2" customFormat="1" ht="30" customHeight="1" spans="1:6">
      <c r="A5351" s="9">
        <v>5348</v>
      </c>
      <c r="B5351" s="10" t="s">
        <v>4840</v>
      </c>
      <c r="C5351" s="10" t="s">
        <v>4841</v>
      </c>
      <c r="D5351" s="10" t="s">
        <v>5207</v>
      </c>
      <c r="E5351" s="10" t="str">
        <f>"644020240513154437175616"</f>
        <v>644020240513154437175616</v>
      </c>
      <c r="F5351" s="9"/>
    </row>
    <row r="5352" s="2" customFormat="1" ht="30" customHeight="1" spans="1:6">
      <c r="A5352" s="9">
        <v>5349</v>
      </c>
      <c r="B5352" s="10" t="s">
        <v>4840</v>
      </c>
      <c r="C5352" s="10" t="s">
        <v>4841</v>
      </c>
      <c r="D5352" s="10" t="s">
        <v>5208</v>
      </c>
      <c r="E5352" s="10" t="str">
        <f>"644020240513160504175812"</f>
        <v>644020240513160504175812</v>
      </c>
      <c r="F5352" s="9"/>
    </row>
    <row r="5353" s="2" customFormat="1" ht="30" customHeight="1" spans="1:6">
      <c r="A5353" s="9">
        <v>5350</v>
      </c>
      <c r="B5353" s="10" t="s">
        <v>4840</v>
      </c>
      <c r="C5353" s="10" t="s">
        <v>4841</v>
      </c>
      <c r="D5353" s="10" t="s">
        <v>5209</v>
      </c>
      <c r="E5353" s="10" t="str">
        <f>"644020240513154228175586"</f>
        <v>644020240513154228175586</v>
      </c>
      <c r="F5353" s="9"/>
    </row>
    <row r="5354" s="2" customFormat="1" ht="30" customHeight="1" spans="1:6">
      <c r="A5354" s="9">
        <v>5351</v>
      </c>
      <c r="B5354" s="10" t="s">
        <v>4840</v>
      </c>
      <c r="C5354" s="10" t="s">
        <v>4841</v>
      </c>
      <c r="D5354" s="10" t="s">
        <v>5210</v>
      </c>
      <c r="E5354" s="10" t="str">
        <f>"644020240513160744175831"</f>
        <v>644020240513160744175831</v>
      </c>
      <c r="F5354" s="9"/>
    </row>
    <row r="5355" s="2" customFormat="1" ht="30" customHeight="1" spans="1:6">
      <c r="A5355" s="9">
        <v>5352</v>
      </c>
      <c r="B5355" s="10" t="s">
        <v>4840</v>
      </c>
      <c r="C5355" s="10" t="s">
        <v>4841</v>
      </c>
      <c r="D5355" s="10" t="s">
        <v>5211</v>
      </c>
      <c r="E5355" s="10" t="str">
        <f>"644020240513150853175265"</f>
        <v>644020240513150853175265</v>
      </c>
      <c r="F5355" s="9"/>
    </row>
    <row r="5356" s="2" customFormat="1" ht="30" customHeight="1" spans="1:6">
      <c r="A5356" s="9">
        <v>5353</v>
      </c>
      <c r="B5356" s="10" t="s">
        <v>4840</v>
      </c>
      <c r="C5356" s="10" t="s">
        <v>4841</v>
      </c>
      <c r="D5356" s="10" t="s">
        <v>5212</v>
      </c>
      <c r="E5356" s="10" t="str">
        <f>"644020240513162348175909"</f>
        <v>644020240513162348175909</v>
      </c>
      <c r="F5356" s="9"/>
    </row>
    <row r="5357" s="2" customFormat="1" ht="30" customHeight="1" spans="1:6">
      <c r="A5357" s="9">
        <v>5354</v>
      </c>
      <c r="B5357" s="10" t="s">
        <v>4840</v>
      </c>
      <c r="C5357" s="10" t="s">
        <v>4841</v>
      </c>
      <c r="D5357" s="10" t="s">
        <v>5213</v>
      </c>
      <c r="E5357" s="10" t="str">
        <f>"644020240513162454175913"</f>
        <v>644020240513162454175913</v>
      </c>
      <c r="F5357" s="9"/>
    </row>
    <row r="5358" s="2" customFormat="1" ht="30" customHeight="1" spans="1:6">
      <c r="A5358" s="9">
        <v>5355</v>
      </c>
      <c r="B5358" s="10" t="s">
        <v>4840</v>
      </c>
      <c r="C5358" s="10" t="s">
        <v>4841</v>
      </c>
      <c r="D5358" s="10" t="s">
        <v>5214</v>
      </c>
      <c r="E5358" s="10" t="str">
        <f>"644020240513154519175622"</f>
        <v>644020240513154519175622</v>
      </c>
      <c r="F5358" s="9"/>
    </row>
    <row r="5359" s="2" customFormat="1" ht="30" customHeight="1" spans="1:6">
      <c r="A5359" s="9">
        <v>5356</v>
      </c>
      <c r="B5359" s="10" t="s">
        <v>4840</v>
      </c>
      <c r="C5359" s="10" t="s">
        <v>4841</v>
      </c>
      <c r="D5359" s="10" t="s">
        <v>5215</v>
      </c>
      <c r="E5359" s="10" t="str">
        <f>"644020240513114650174070"</f>
        <v>644020240513114650174070</v>
      </c>
      <c r="F5359" s="9"/>
    </row>
    <row r="5360" s="2" customFormat="1" ht="30" customHeight="1" spans="1:6">
      <c r="A5360" s="9">
        <v>5357</v>
      </c>
      <c r="B5360" s="10" t="s">
        <v>4840</v>
      </c>
      <c r="C5360" s="10" t="s">
        <v>4841</v>
      </c>
      <c r="D5360" s="10" t="s">
        <v>5216</v>
      </c>
      <c r="E5360" s="10" t="str">
        <f>"644020240513162036175896"</f>
        <v>644020240513162036175896</v>
      </c>
      <c r="F5360" s="9"/>
    </row>
    <row r="5361" s="2" customFormat="1" ht="30" customHeight="1" spans="1:6">
      <c r="A5361" s="9">
        <v>5358</v>
      </c>
      <c r="B5361" s="10" t="s">
        <v>4840</v>
      </c>
      <c r="C5361" s="10" t="s">
        <v>4841</v>
      </c>
      <c r="D5361" s="10" t="s">
        <v>5217</v>
      </c>
      <c r="E5361" s="10" t="str">
        <f>"644020240513161251175861"</f>
        <v>644020240513161251175861</v>
      </c>
      <c r="F5361" s="9"/>
    </row>
    <row r="5362" s="2" customFormat="1" ht="30" customHeight="1" spans="1:6">
      <c r="A5362" s="9">
        <v>5359</v>
      </c>
      <c r="B5362" s="10" t="s">
        <v>4840</v>
      </c>
      <c r="C5362" s="10" t="s">
        <v>4841</v>
      </c>
      <c r="D5362" s="10" t="s">
        <v>5218</v>
      </c>
      <c r="E5362" s="10" t="str">
        <f>"644020240513155305175718"</f>
        <v>644020240513155305175718</v>
      </c>
      <c r="F5362" s="9"/>
    </row>
    <row r="5363" s="2" customFormat="1" ht="30" customHeight="1" spans="1:6">
      <c r="A5363" s="9">
        <v>5360</v>
      </c>
      <c r="B5363" s="10" t="s">
        <v>4840</v>
      </c>
      <c r="C5363" s="10" t="s">
        <v>4841</v>
      </c>
      <c r="D5363" s="10" t="s">
        <v>5219</v>
      </c>
      <c r="E5363" s="10" t="str">
        <f>"644020240513083705172336"</f>
        <v>644020240513083705172336</v>
      </c>
      <c r="F5363" s="9"/>
    </row>
    <row r="5364" s="2" customFormat="1" ht="30" customHeight="1" spans="1:6">
      <c r="A5364" s="9">
        <v>5361</v>
      </c>
      <c r="B5364" s="10" t="s">
        <v>4840</v>
      </c>
      <c r="C5364" s="10" t="s">
        <v>4841</v>
      </c>
      <c r="D5364" s="10" t="s">
        <v>5220</v>
      </c>
      <c r="E5364" s="10" t="str">
        <f>"644020240513163911175988"</f>
        <v>644020240513163911175988</v>
      </c>
      <c r="F5364" s="9"/>
    </row>
    <row r="5365" s="2" customFormat="1" ht="30" customHeight="1" spans="1:6">
      <c r="A5365" s="9">
        <v>5362</v>
      </c>
      <c r="B5365" s="10" t="s">
        <v>4840</v>
      </c>
      <c r="C5365" s="10" t="s">
        <v>4841</v>
      </c>
      <c r="D5365" s="10" t="s">
        <v>5221</v>
      </c>
      <c r="E5365" s="10" t="str">
        <f>"644020240513111545173841"</f>
        <v>644020240513111545173841</v>
      </c>
      <c r="F5365" s="9"/>
    </row>
    <row r="5366" s="2" customFormat="1" ht="30" customHeight="1" spans="1:6">
      <c r="A5366" s="9">
        <v>5363</v>
      </c>
      <c r="B5366" s="10" t="s">
        <v>4840</v>
      </c>
      <c r="C5366" s="10" t="s">
        <v>4841</v>
      </c>
      <c r="D5366" s="10" t="s">
        <v>5222</v>
      </c>
      <c r="E5366" s="10" t="str">
        <f>"644020240513162409175910"</f>
        <v>644020240513162409175910</v>
      </c>
      <c r="F5366" s="9"/>
    </row>
    <row r="5367" s="2" customFormat="1" ht="30" customHeight="1" spans="1:6">
      <c r="A5367" s="9">
        <v>5364</v>
      </c>
      <c r="B5367" s="10" t="s">
        <v>4840</v>
      </c>
      <c r="C5367" s="10" t="s">
        <v>4841</v>
      </c>
      <c r="D5367" s="10" t="s">
        <v>5223</v>
      </c>
      <c r="E5367" s="10" t="str">
        <f>"644020240513164201176008"</f>
        <v>644020240513164201176008</v>
      </c>
      <c r="F5367" s="9"/>
    </row>
    <row r="5368" s="2" customFormat="1" ht="30" customHeight="1" spans="1:6">
      <c r="A5368" s="9">
        <v>5365</v>
      </c>
      <c r="B5368" s="10" t="s">
        <v>4840</v>
      </c>
      <c r="C5368" s="10" t="s">
        <v>4841</v>
      </c>
      <c r="D5368" s="10" t="s">
        <v>5224</v>
      </c>
      <c r="E5368" s="10" t="str">
        <f>"644020240513160038175785"</f>
        <v>644020240513160038175785</v>
      </c>
      <c r="F5368" s="9"/>
    </row>
    <row r="5369" s="2" customFormat="1" ht="30" customHeight="1" spans="1:6">
      <c r="A5369" s="9">
        <v>5366</v>
      </c>
      <c r="B5369" s="10" t="s">
        <v>4840</v>
      </c>
      <c r="C5369" s="10" t="s">
        <v>4841</v>
      </c>
      <c r="D5369" s="10" t="s">
        <v>5225</v>
      </c>
      <c r="E5369" s="10" t="str">
        <f>"644020240513164938176048"</f>
        <v>644020240513164938176048</v>
      </c>
      <c r="F5369" s="9"/>
    </row>
    <row r="5370" s="2" customFormat="1" ht="30" customHeight="1" spans="1:6">
      <c r="A5370" s="9">
        <v>5367</v>
      </c>
      <c r="B5370" s="10" t="s">
        <v>4840</v>
      </c>
      <c r="C5370" s="10" t="s">
        <v>4841</v>
      </c>
      <c r="D5370" s="10" t="s">
        <v>4277</v>
      </c>
      <c r="E5370" s="10" t="str">
        <f>"644020240513151423175316"</f>
        <v>644020240513151423175316</v>
      </c>
      <c r="F5370" s="9"/>
    </row>
    <row r="5371" s="2" customFormat="1" ht="30" customHeight="1" spans="1:6">
      <c r="A5371" s="9">
        <v>5368</v>
      </c>
      <c r="B5371" s="10" t="s">
        <v>4840</v>
      </c>
      <c r="C5371" s="10" t="s">
        <v>4841</v>
      </c>
      <c r="D5371" s="10" t="s">
        <v>5226</v>
      </c>
      <c r="E5371" s="10" t="str">
        <f>"644020240513165448176068"</f>
        <v>644020240513165448176068</v>
      </c>
      <c r="F5371" s="9"/>
    </row>
    <row r="5372" s="2" customFormat="1" ht="30" customHeight="1" spans="1:6">
      <c r="A5372" s="9">
        <v>5369</v>
      </c>
      <c r="B5372" s="10" t="s">
        <v>4840</v>
      </c>
      <c r="C5372" s="10" t="s">
        <v>4841</v>
      </c>
      <c r="D5372" s="10" t="s">
        <v>5227</v>
      </c>
      <c r="E5372" s="10" t="str">
        <f>"644020240513093509172858"</f>
        <v>644020240513093509172858</v>
      </c>
      <c r="F5372" s="9"/>
    </row>
    <row r="5373" s="2" customFormat="1" ht="30" customHeight="1" spans="1:6">
      <c r="A5373" s="9">
        <v>5370</v>
      </c>
      <c r="B5373" s="10" t="s">
        <v>4840</v>
      </c>
      <c r="C5373" s="10" t="s">
        <v>4841</v>
      </c>
      <c r="D5373" s="10" t="s">
        <v>5228</v>
      </c>
      <c r="E5373" s="10" t="str">
        <f>"644020240513170947176141"</f>
        <v>644020240513170947176141</v>
      </c>
      <c r="F5373" s="9"/>
    </row>
    <row r="5374" s="2" customFormat="1" ht="30" customHeight="1" spans="1:6">
      <c r="A5374" s="9">
        <v>5371</v>
      </c>
      <c r="B5374" s="10" t="s">
        <v>4840</v>
      </c>
      <c r="C5374" s="10" t="s">
        <v>4841</v>
      </c>
      <c r="D5374" s="10" t="s">
        <v>5229</v>
      </c>
      <c r="E5374" s="10" t="str">
        <f>"644020240513101910173302"</f>
        <v>644020240513101910173302</v>
      </c>
      <c r="F5374" s="9"/>
    </row>
    <row r="5375" s="2" customFormat="1" ht="30" customHeight="1" spans="1:6">
      <c r="A5375" s="9">
        <v>5372</v>
      </c>
      <c r="B5375" s="10" t="s">
        <v>4840</v>
      </c>
      <c r="C5375" s="10" t="s">
        <v>4841</v>
      </c>
      <c r="D5375" s="10" t="s">
        <v>1522</v>
      </c>
      <c r="E5375" s="10" t="str">
        <f>"644020240513162025175894"</f>
        <v>644020240513162025175894</v>
      </c>
      <c r="F5375" s="9"/>
    </row>
    <row r="5376" s="2" customFormat="1" ht="30" customHeight="1" spans="1:6">
      <c r="A5376" s="9">
        <v>5373</v>
      </c>
      <c r="B5376" s="10" t="s">
        <v>4840</v>
      </c>
      <c r="C5376" s="10" t="s">
        <v>4841</v>
      </c>
      <c r="D5376" s="10" t="s">
        <v>5230</v>
      </c>
      <c r="E5376" s="10" t="str">
        <f>"644020240513161251175860"</f>
        <v>644020240513161251175860</v>
      </c>
      <c r="F5376" s="9"/>
    </row>
    <row r="5377" s="2" customFormat="1" ht="30" customHeight="1" spans="1:6">
      <c r="A5377" s="9">
        <v>5374</v>
      </c>
      <c r="B5377" s="10" t="s">
        <v>4840</v>
      </c>
      <c r="C5377" s="10" t="s">
        <v>4841</v>
      </c>
      <c r="D5377" s="10" t="s">
        <v>5231</v>
      </c>
      <c r="E5377" s="10" t="str">
        <f>"644020240513170020176093"</f>
        <v>644020240513170020176093</v>
      </c>
      <c r="F5377" s="9"/>
    </row>
    <row r="5378" s="2" customFormat="1" ht="30" customHeight="1" spans="1:6">
      <c r="A5378" s="9">
        <v>5375</v>
      </c>
      <c r="B5378" s="10" t="s">
        <v>4840</v>
      </c>
      <c r="C5378" s="10" t="s">
        <v>4841</v>
      </c>
      <c r="D5378" s="10" t="s">
        <v>5232</v>
      </c>
      <c r="E5378" s="10" t="str">
        <f>"644020240512184447170457"</f>
        <v>644020240512184447170457</v>
      </c>
      <c r="F5378" s="9"/>
    </row>
    <row r="5379" s="2" customFormat="1" ht="30" customHeight="1" spans="1:6">
      <c r="A5379" s="9">
        <v>5376</v>
      </c>
      <c r="B5379" s="10" t="s">
        <v>4840</v>
      </c>
      <c r="C5379" s="10" t="s">
        <v>4841</v>
      </c>
      <c r="D5379" s="10" t="s">
        <v>5233</v>
      </c>
      <c r="E5379" s="10" t="str">
        <f>"644020240513170934176140"</f>
        <v>644020240513170934176140</v>
      </c>
      <c r="F5379" s="9"/>
    </row>
    <row r="5380" s="2" customFormat="1" ht="30" customHeight="1" spans="1:6">
      <c r="A5380" s="9">
        <v>5377</v>
      </c>
      <c r="B5380" s="10" t="s">
        <v>4840</v>
      </c>
      <c r="C5380" s="10" t="s">
        <v>4841</v>
      </c>
      <c r="D5380" s="10" t="s">
        <v>5234</v>
      </c>
      <c r="E5380" s="10" t="str">
        <f>"644020240512130659169261"</f>
        <v>644020240512130659169261</v>
      </c>
      <c r="F5380" s="9"/>
    </row>
    <row r="5381" s="2" customFormat="1" ht="30" customHeight="1" spans="1:6">
      <c r="A5381" s="9">
        <v>5378</v>
      </c>
      <c r="B5381" s="10" t="s">
        <v>4840</v>
      </c>
      <c r="C5381" s="10" t="s">
        <v>4841</v>
      </c>
      <c r="D5381" s="10" t="s">
        <v>5235</v>
      </c>
      <c r="E5381" s="10" t="str">
        <f>"644020240513165846176086"</f>
        <v>644020240513165846176086</v>
      </c>
      <c r="F5381" s="9"/>
    </row>
    <row r="5382" s="2" customFormat="1" ht="30" customHeight="1" spans="1:6">
      <c r="A5382" s="9">
        <v>5379</v>
      </c>
      <c r="B5382" s="10" t="s">
        <v>4840</v>
      </c>
      <c r="C5382" s="10" t="s">
        <v>4841</v>
      </c>
      <c r="D5382" s="10" t="s">
        <v>5236</v>
      </c>
      <c r="E5382" s="10" t="str">
        <f>"644020240513172436176210"</f>
        <v>644020240513172436176210</v>
      </c>
      <c r="F5382" s="9"/>
    </row>
    <row r="5383" s="2" customFormat="1" ht="30" customHeight="1" spans="1:6">
      <c r="A5383" s="9">
        <v>5380</v>
      </c>
      <c r="B5383" s="10" t="s">
        <v>4840</v>
      </c>
      <c r="C5383" s="10" t="s">
        <v>4841</v>
      </c>
      <c r="D5383" s="10" t="s">
        <v>5237</v>
      </c>
      <c r="E5383" s="10" t="str">
        <f>"644020240513170448176117"</f>
        <v>644020240513170448176117</v>
      </c>
      <c r="F5383" s="9"/>
    </row>
    <row r="5384" s="2" customFormat="1" ht="30" customHeight="1" spans="1:6">
      <c r="A5384" s="9">
        <v>5381</v>
      </c>
      <c r="B5384" s="10" t="s">
        <v>4840</v>
      </c>
      <c r="C5384" s="10" t="s">
        <v>4841</v>
      </c>
      <c r="D5384" s="10" t="s">
        <v>5238</v>
      </c>
      <c r="E5384" s="10" t="str">
        <f>"644020240512093209168252"</f>
        <v>644020240512093209168252</v>
      </c>
      <c r="F5384" s="9"/>
    </row>
    <row r="5385" s="2" customFormat="1" ht="30" customHeight="1" spans="1:6">
      <c r="A5385" s="9">
        <v>5382</v>
      </c>
      <c r="B5385" s="10" t="s">
        <v>4840</v>
      </c>
      <c r="C5385" s="10" t="s">
        <v>4841</v>
      </c>
      <c r="D5385" s="10" t="s">
        <v>5239</v>
      </c>
      <c r="E5385" s="10" t="str">
        <f>"644020240513171355176156"</f>
        <v>644020240513171355176156</v>
      </c>
      <c r="F5385" s="9"/>
    </row>
    <row r="5386" s="2" customFormat="1" ht="30" customHeight="1" spans="1:6">
      <c r="A5386" s="9">
        <v>5383</v>
      </c>
      <c r="B5386" s="10" t="s">
        <v>4840</v>
      </c>
      <c r="C5386" s="10" t="s">
        <v>4841</v>
      </c>
      <c r="D5386" s="10" t="s">
        <v>5240</v>
      </c>
      <c r="E5386" s="10" t="str">
        <f>"644020240512143015169550"</f>
        <v>644020240512143015169550</v>
      </c>
      <c r="F5386" s="9"/>
    </row>
    <row r="5387" s="2" customFormat="1" ht="30" customHeight="1" spans="1:6">
      <c r="A5387" s="9">
        <v>5384</v>
      </c>
      <c r="B5387" s="10" t="s">
        <v>4840</v>
      </c>
      <c r="C5387" s="10" t="s">
        <v>4841</v>
      </c>
      <c r="D5387" s="10" t="s">
        <v>5241</v>
      </c>
      <c r="E5387" s="10" t="str">
        <f>"644020240513170400176108"</f>
        <v>644020240513170400176108</v>
      </c>
      <c r="F5387" s="9"/>
    </row>
    <row r="5388" s="2" customFormat="1" ht="30" customHeight="1" spans="1:6">
      <c r="A5388" s="9">
        <v>5385</v>
      </c>
      <c r="B5388" s="10" t="s">
        <v>4840</v>
      </c>
      <c r="C5388" s="10" t="s">
        <v>4841</v>
      </c>
      <c r="D5388" s="10" t="s">
        <v>5242</v>
      </c>
      <c r="E5388" s="10" t="str">
        <f>"644020240513161841175886"</f>
        <v>644020240513161841175886</v>
      </c>
      <c r="F5388" s="9"/>
    </row>
    <row r="5389" s="2" customFormat="1" ht="30" customHeight="1" spans="1:6">
      <c r="A5389" s="9">
        <v>5386</v>
      </c>
      <c r="B5389" s="10" t="s">
        <v>4840</v>
      </c>
      <c r="C5389" s="10" t="s">
        <v>4841</v>
      </c>
      <c r="D5389" s="10" t="s">
        <v>5243</v>
      </c>
      <c r="E5389" s="10" t="str">
        <f>"644020240512180722170334"</f>
        <v>644020240512180722170334</v>
      </c>
      <c r="F5389" s="9"/>
    </row>
    <row r="5390" s="2" customFormat="1" ht="30" customHeight="1" spans="1:6">
      <c r="A5390" s="9">
        <v>5387</v>
      </c>
      <c r="B5390" s="10" t="s">
        <v>4840</v>
      </c>
      <c r="C5390" s="10" t="s">
        <v>4841</v>
      </c>
      <c r="D5390" s="10" t="s">
        <v>5244</v>
      </c>
      <c r="E5390" s="10" t="str">
        <f>"644020240513175426176320"</f>
        <v>644020240513175426176320</v>
      </c>
      <c r="F5390" s="9"/>
    </row>
    <row r="5391" s="2" customFormat="1" ht="30" customHeight="1" spans="1:6">
      <c r="A5391" s="9">
        <v>5388</v>
      </c>
      <c r="B5391" s="10" t="s">
        <v>4840</v>
      </c>
      <c r="C5391" s="10" t="s">
        <v>4841</v>
      </c>
      <c r="D5391" s="10" t="s">
        <v>5245</v>
      </c>
      <c r="E5391" s="10" t="str">
        <f>"644020240512123306169133"</f>
        <v>644020240512123306169133</v>
      </c>
      <c r="F5391" s="9"/>
    </row>
    <row r="5392" s="2" customFormat="1" ht="30" customHeight="1" spans="1:6">
      <c r="A5392" s="9">
        <v>5389</v>
      </c>
      <c r="B5392" s="10" t="s">
        <v>4840</v>
      </c>
      <c r="C5392" s="10" t="s">
        <v>4841</v>
      </c>
      <c r="D5392" s="10" t="s">
        <v>5246</v>
      </c>
      <c r="E5392" s="10" t="str">
        <f>"644020240513172611176218"</f>
        <v>644020240513172611176218</v>
      </c>
      <c r="F5392" s="9"/>
    </row>
    <row r="5393" s="2" customFormat="1" ht="30" customHeight="1" spans="1:6">
      <c r="A5393" s="9">
        <v>5390</v>
      </c>
      <c r="B5393" s="10" t="s">
        <v>4840</v>
      </c>
      <c r="C5393" s="10" t="s">
        <v>4841</v>
      </c>
      <c r="D5393" s="10" t="s">
        <v>5247</v>
      </c>
      <c r="E5393" s="10" t="str">
        <f>"644020240513175630176327"</f>
        <v>644020240513175630176327</v>
      </c>
      <c r="F5393" s="9"/>
    </row>
    <row r="5394" s="2" customFormat="1" ht="30" customHeight="1" spans="1:6">
      <c r="A5394" s="9">
        <v>5391</v>
      </c>
      <c r="B5394" s="10" t="s">
        <v>4840</v>
      </c>
      <c r="C5394" s="10" t="s">
        <v>4841</v>
      </c>
      <c r="D5394" s="10" t="s">
        <v>5248</v>
      </c>
      <c r="E5394" s="10" t="str">
        <f>"644020240513173821176269"</f>
        <v>644020240513173821176269</v>
      </c>
      <c r="F5394" s="9"/>
    </row>
    <row r="5395" s="2" customFormat="1" ht="30" customHeight="1" spans="1:6">
      <c r="A5395" s="9">
        <v>5392</v>
      </c>
      <c r="B5395" s="10" t="s">
        <v>4840</v>
      </c>
      <c r="C5395" s="10" t="s">
        <v>4841</v>
      </c>
      <c r="D5395" s="10" t="s">
        <v>5249</v>
      </c>
      <c r="E5395" s="10" t="str">
        <f>"644020240513172302176203"</f>
        <v>644020240513172302176203</v>
      </c>
      <c r="F5395" s="9"/>
    </row>
    <row r="5396" s="2" customFormat="1" ht="30" customHeight="1" spans="1:6">
      <c r="A5396" s="9">
        <v>5393</v>
      </c>
      <c r="B5396" s="10" t="s">
        <v>4840</v>
      </c>
      <c r="C5396" s="10" t="s">
        <v>4841</v>
      </c>
      <c r="D5396" s="10" t="s">
        <v>5250</v>
      </c>
      <c r="E5396" s="10" t="str">
        <f>"644020240512120743169045"</f>
        <v>644020240512120743169045</v>
      </c>
      <c r="F5396" s="9"/>
    </row>
    <row r="5397" s="2" customFormat="1" ht="30" customHeight="1" spans="1:6">
      <c r="A5397" s="9">
        <v>5394</v>
      </c>
      <c r="B5397" s="10" t="s">
        <v>4840</v>
      </c>
      <c r="C5397" s="10" t="s">
        <v>4841</v>
      </c>
      <c r="D5397" s="10" t="s">
        <v>5251</v>
      </c>
      <c r="E5397" s="10" t="str">
        <f>"644020240512133601169384"</f>
        <v>644020240512133601169384</v>
      </c>
      <c r="F5397" s="9"/>
    </row>
    <row r="5398" s="2" customFormat="1" ht="30" customHeight="1" spans="1:6">
      <c r="A5398" s="9">
        <v>5395</v>
      </c>
      <c r="B5398" s="10" t="s">
        <v>4840</v>
      </c>
      <c r="C5398" s="10" t="s">
        <v>4841</v>
      </c>
      <c r="D5398" s="10" t="s">
        <v>5252</v>
      </c>
      <c r="E5398" s="10" t="str">
        <f>"644020240512100356168407"</f>
        <v>644020240512100356168407</v>
      </c>
      <c r="F5398" s="9"/>
    </row>
    <row r="5399" s="2" customFormat="1" ht="30" customHeight="1" spans="1:6">
      <c r="A5399" s="9">
        <v>5396</v>
      </c>
      <c r="B5399" s="10" t="s">
        <v>4840</v>
      </c>
      <c r="C5399" s="10" t="s">
        <v>4841</v>
      </c>
      <c r="D5399" s="10" t="s">
        <v>5253</v>
      </c>
      <c r="E5399" s="10" t="str">
        <f>"644020240512200343170723"</f>
        <v>644020240512200343170723</v>
      </c>
      <c r="F5399" s="9"/>
    </row>
    <row r="5400" s="2" customFormat="1" ht="30" customHeight="1" spans="1:6">
      <c r="A5400" s="9">
        <v>5397</v>
      </c>
      <c r="B5400" s="10" t="s">
        <v>4840</v>
      </c>
      <c r="C5400" s="10" t="s">
        <v>4841</v>
      </c>
      <c r="D5400" s="10" t="s">
        <v>5254</v>
      </c>
      <c r="E5400" s="10" t="str">
        <f>"644020240513181011176372"</f>
        <v>644020240513181011176372</v>
      </c>
      <c r="F5400" s="9"/>
    </row>
    <row r="5401" s="2" customFormat="1" ht="30" customHeight="1" spans="1:6">
      <c r="A5401" s="9">
        <v>5398</v>
      </c>
      <c r="B5401" s="10" t="s">
        <v>4840</v>
      </c>
      <c r="C5401" s="10" t="s">
        <v>4841</v>
      </c>
      <c r="D5401" s="10" t="s">
        <v>5255</v>
      </c>
      <c r="E5401" s="10" t="str">
        <f>"644020240513111534173837"</f>
        <v>644020240513111534173837</v>
      </c>
      <c r="F5401" s="9"/>
    </row>
    <row r="5402" s="2" customFormat="1" ht="30" customHeight="1" spans="1:6">
      <c r="A5402" s="9">
        <v>5399</v>
      </c>
      <c r="B5402" s="10" t="s">
        <v>4840</v>
      </c>
      <c r="C5402" s="10" t="s">
        <v>4841</v>
      </c>
      <c r="D5402" s="10" t="s">
        <v>5256</v>
      </c>
      <c r="E5402" s="10" t="str">
        <f>"644020240512210943171039"</f>
        <v>644020240512210943171039</v>
      </c>
      <c r="F5402" s="9"/>
    </row>
    <row r="5403" s="2" customFormat="1" ht="30" customHeight="1" spans="1:6">
      <c r="A5403" s="9">
        <v>5400</v>
      </c>
      <c r="B5403" s="10" t="s">
        <v>4840</v>
      </c>
      <c r="C5403" s="10" t="s">
        <v>4841</v>
      </c>
      <c r="D5403" s="10" t="s">
        <v>5257</v>
      </c>
      <c r="E5403" s="10" t="str">
        <f>"644020240513181926176399"</f>
        <v>644020240513181926176399</v>
      </c>
      <c r="F5403" s="9"/>
    </row>
    <row r="5404" s="2" customFormat="1" ht="30" customHeight="1" spans="1:6">
      <c r="A5404" s="9">
        <v>5401</v>
      </c>
      <c r="B5404" s="10" t="s">
        <v>4840</v>
      </c>
      <c r="C5404" s="10" t="s">
        <v>4841</v>
      </c>
      <c r="D5404" s="10" t="s">
        <v>5258</v>
      </c>
      <c r="E5404" s="10" t="str">
        <f>"644020240513183208176433"</f>
        <v>644020240513183208176433</v>
      </c>
      <c r="F5404" s="9"/>
    </row>
    <row r="5405" s="2" customFormat="1" ht="30" customHeight="1" spans="1:6">
      <c r="A5405" s="9">
        <v>5402</v>
      </c>
      <c r="B5405" s="10" t="s">
        <v>4840</v>
      </c>
      <c r="C5405" s="10" t="s">
        <v>4841</v>
      </c>
      <c r="D5405" s="10" t="s">
        <v>5259</v>
      </c>
      <c r="E5405" s="10" t="str">
        <f>"644020240513170516176121"</f>
        <v>644020240513170516176121</v>
      </c>
      <c r="F5405" s="9"/>
    </row>
    <row r="5406" s="2" customFormat="1" ht="30" customHeight="1" spans="1:6">
      <c r="A5406" s="9">
        <v>5403</v>
      </c>
      <c r="B5406" s="10" t="s">
        <v>4840</v>
      </c>
      <c r="C5406" s="10" t="s">
        <v>4841</v>
      </c>
      <c r="D5406" s="10" t="s">
        <v>5260</v>
      </c>
      <c r="E5406" s="10" t="str">
        <f>"644020240513180856176368"</f>
        <v>644020240513180856176368</v>
      </c>
      <c r="F5406" s="9"/>
    </row>
    <row r="5407" s="2" customFormat="1" ht="30" customHeight="1" spans="1:6">
      <c r="A5407" s="9">
        <v>5404</v>
      </c>
      <c r="B5407" s="10" t="s">
        <v>4840</v>
      </c>
      <c r="C5407" s="10" t="s">
        <v>4841</v>
      </c>
      <c r="D5407" s="10" t="s">
        <v>5261</v>
      </c>
      <c r="E5407" s="10" t="str">
        <f>"644020240513184638176466"</f>
        <v>644020240513184638176466</v>
      </c>
      <c r="F5407" s="9"/>
    </row>
    <row r="5408" s="2" customFormat="1" ht="30" customHeight="1" spans="1:6">
      <c r="A5408" s="9">
        <v>5405</v>
      </c>
      <c r="B5408" s="10" t="s">
        <v>4840</v>
      </c>
      <c r="C5408" s="10" t="s">
        <v>4841</v>
      </c>
      <c r="D5408" s="10" t="s">
        <v>5262</v>
      </c>
      <c r="E5408" s="10" t="str">
        <f>"644020240513185657176501"</f>
        <v>644020240513185657176501</v>
      </c>
      <c r="F5408" s="9"/>
    </row>
    <row r="5409" s="2" customFormat="1" ht="30" customHeight="1" spans="1:6">
      <c r="A5409" s="9">
        <v>5406</v>
      </c>
      <c r="B5409" s="10" t="s">
        <v>4840</v>
      </c>
      <c r="C5409" s="10" t="s">
        <v>4841</v>
      </c>
      <c r="D5409" s="10" t="s">
        <v>5263</v>
      </c>
      <c r="E5409" s="10" t="str">
        <f>"644020240513170401176109"</f>
        <v>644020240513170401176109</v>
      </c>
      <c r="F5409" s="9"/>
    </row>
    <row r="5410" s="2" customFormat="1" ht="30" customHeight="1" spans="1:6">
      <c r="A5410" s="9">
        <v>5407</v>
      </c>
      <c r="B5410" s="10" t="s">
        <v>4840</v>
      </c>
      <c r="C5410" s="10" t="s">
        <v>4841</v>
      </c>
      <c r="D5410" s="10" t="s">
        <v>5264</v>
      </c>
      <c r="E5410" s="10" t="str">
        <f>"644020240513164300176013"</f>
        <v>644020240513164300176013</v>
      </c>
      <c r="F5410" s="9"/>
    </row>
    <row r="5411" s="2" customFormat="1" ht="30" customHeight="1" spans="1:6">
      <c r="A5411" s="9">
        <v>5408</v>
      </c>
      <c r="B5411" s="10" t="s">
        <v>4840</v>
      </c>
      <c r="C5411" s="10" t="s">
        <v>4841</v>
      </c>
      <c r="D5411" s="10" t="s">
        <v>5265</v>
      </c>
      <c r="E5411" s="10" t="str">
        <f>"644020240513190353176525"</f>
        <v>644020240513190353176525</v>
      </c>
      <c r="F5411" s="9"/>
    </row>
    <row r="5412" s="2" customFormat="1" ht="30" customHeight="1" spans="1:6">
      <c r="A5412" s="9">
        <v>5409</v>
      </c>
      <c r="B5412" s="10" t="s">
        <v>4840</v>
      </c>
      <c r="C5412" s="10" t="s">
        <v>4841</v>
      </c>
      <c r="D5412" s="10" t="s">
        <v>5266</v>
      </c>
      <c r="E5412" s="10" t="str">
        <f>"644020240513000431171935"</f>
        <v>644020240513000431171935</v>
      </c>
      <c r="F5412" s="9"/>
    </row>
    <row r="5413" s="2" customFormat="1" ht="30" customHeight="1" spans="1:6">
      <c r="A5413" s="9">
        <v>5410</v>
      </c>
      <c r="B5413" s="10" t="s">
        <v>4840</v>
      </c>
      <c r="C5413" s="10" t="s">
        <v>4841</v>
      </c>
      <c r="D5413" s="10" t="s">
        <v>5267</v>
      </c>
      <c r="E5413" s="10" t="str">
        <f>"644020240513160803175835"</f>
        <v>644020240513160803175835</v>
      </c>
      <c r="F5413" s="9"/>
    </row>
    <row r="5414" s="2" customFormat="1" ht="30" customHeight="1" spans="1:6">
      <c r="A5414" s="9">
        <v>5411</v>
      </c>
      <c r="B5414" s="10" t="s">
        <v>4840</v>
      </c>
      <c r="C5414" s="10" t="s">
        <v>4841</v>
      </c>
      <c r="D5414" s="10" t="s">
        <v>5268</v>
      </c>
      <c r="E5414" s="10" t="str">
        <f>"644020240513185832176505"</f>
        <v>644020240513185832176505</v>
      </c>
      <c r="F5414" s="9"/>
    </row>
    <row r="5415" s="2" customFormat="1" ht="30" customHeight="1" spans="1:6">
      <c r="A5415" s="9">
        <v>5412</v>
      </c>
      <c r="B5415" s="10" t="s">
        <v>4840</v>
      </c>
      <c r="C5415" s="10" t="s">
        <v>4841</v>
      </c>
      <c r="D5415" s="10" t="s">
        <v>5269</v>
      </c>
      <c r="E5415" s="10" t="str">
        <f>"644020240513185544176496"</f>
        <v>644020240513185544176496</v>
      </c>
      <c r="F5415" s="9"/>
    </row>
    <row r="5416" s="2" customFormat="1" ht="30" customHeight="1" spans="1:6">
      <c r="A5416" s="9">
        <v>5413</v>
      </c>
      <c r="B5416" s="10" t="s">
        <v>4840</v>
      </c>
      <c r="C5416" s="10" t="s">
        <v>4841</v>
      </c>
      <c r="D5416" s="10" t="s">
        <v>5270</v>
      </c>
      <c r="E5416" s="10" t="str">
        <f>"644020240513190621176529"</f>
        <v>644020240513190621176529</v>
      </c>
      <c r="F5416" s="9"/>
    </row>
    <row r="5417" s="2" customFormat="1" ht="30" customHeight="1" spans="1:6">
      <c r="A5417" s="9">
        <v>5414</v>
      </c>
      <c r="B5417" s="10" t="s">
        <v>4840</v>
      </c>
      <c r="C5417" s="10" t="s">
        <v>4841</v>
      </c>
      <c r="D5417" s="10" t="s">
        <v>5271</v>
      </c>
      <c r="E5417" s="10" t="str">
        <f>"644020240513190624176531"</f>
        <v>644020240513190624176531</v>
      </c>
      <c r="F5417" s="9"/>
    </row>
    <row r="5418" s="2" customFormat="1" ht="30" customHeight="1" spans="1:6">
      <c r="A5418" s="9">
        <v>5415</v>
      </c>
      <c r="B5418" s="10" t="s">
        <v>4840</v>
      </c>
      <c r="C5418" s="10" t="s">
        <v>4841</v>
      </c>
      <c r="D5418" s="10" t="s">
        <v>5272</v>
      </c>
      <c r="E5418" s="10" t="str">
        <f>"644020240513192219176583"</f>
        <v>644020240513192219176583</v>
      </c>
      <c r="F5418" s="9"/>
    </row>
    <row r="5419" s="2" customFormat="1" ht="30" customHeight="1" spans="1:6">
      <c r="A5419" s="9">
        <v>5416</v>
      </c>
      <c r="B5419" s="10" t="s">
        <v>4840</v>
      </c>
      <c r="C5419" s="10" t="s">
        <v>4841</v>
      </c>
      <c r="D5419" s="10" t="s">
        <v>336</v>
      </c>
      <c r="E5419" s="10" t="str">
        <f>"644020240513191140176553"</f>
        <v>644020240513191140176553</v>
      </c>
      <c r="F5419" s="9"/>
    </row>
    <row r="5420" s="2" customFormat="1" ht="30" customHeight="1" spans="1:6">
      <c r="A5420" s="9">
        <v>5417</v>
      </c>
      <c r="B5420" s="10" t="s">
        <v>4840</v>
      </c>
      <c r="C5420" s="10" t="s">
        <v>4841</v>
      </c>
      <c r="D5420" s="10" t="s">
        <v>5273</v>
      </c>
      <c r="E5420" s="10" t="str">
        <f>"644020240513184438176460"</f>
        <v>644020240513184438176460</v>
      </c>
      <c r="F5420" s="9"/>
    </row>
    <row r="5421" s="2" customFormat="1" ht="30" customHeight="1" spans="1:6">
      <c r="A5421" s="9">
        <v>5418</v>
      </c>
      <c r="B5421" s="10" t="s">
        <v>4840</v>
      </c>
      <c r="C5421" s="10" t="s">
        <v>4841</v>
      </c>
      <c r="D5421" s="10" t="s">
        <v>1709</v>
      </c>
      <c r="E5421" s="10" t="str">
        <f>"644020240513174328176285"</f>
        <v>644020240513174328176285</v>
      </c>
      <c r="F5421" s="9"/>
    </row>
    <row r="5422" s="2" customFormat="1" ht="30" customHeight="1" spans="1:6">
      <c r="A5422" s="9">
        <v>5419</v>
      </c>
      <c r="B5422" s="10" t="s">
        <v>4840</v>
      </c>
      <c r="C5422" s="10" t="s">
        <v>4841</v>
      </c>
      <c r="D5422" s="10" t="s">
        <v>1522</v>
      </c>
      <c r="E5422" s="10" t="str">
        <f>"644020240513194420176671"</f>
        <v>644020240513194420176671</v>
      </c>
      <c r="F5422" s="9"/>
    </row>
    <row r="5423" s="2" customFormat="1" ht="30" customHeight="1" spans="1:6">
      <c r="A5423" s="9">
        <v>5420</v>
      </c>
      <c r="B5423" s="10" t="s">
        <v>4840</v>
      </c>
      <c r="C5423" s="10" t="s">
        <v>4841</v>
      </c>
      <c r="D5423" s="10" t="s">
        <v>5274</v>
      </c>
      <c r="E5423" s="10" t="str">
        <f>"644020240513193018176615"</f>
        <v>644020240513193018176615</v>
      </c>
      <c r="F5423" s="9"/>
    </row>
    <row r="5424" s="2" customFormat="1" ht="30" customHeight="1" spans="1:6">
      <c r="A5424" s="9">
        <v>5421</v>
      </c>
      <c r="B5424" s="10" t="s">
        <v>4840</v>
      </c>
      <c r="C5424" s="10" t="s">
        <v>4841</v>
      </c>
      <c r="D5424" s="10" t="s">
        <v>5275</v>
      </c>
      <c r="E5424" s="10" t="str">
        <f>"644020240513194259176666"</f>
        <v>644020240513194259176666</v>
      </c>
      <c r="F5424" s="9"/>
    </row>
    <row r="5425" s="2" customFormat="1" ht="30" customHeight="1" spans="1:6">
      <c r="A5425" s="9">
        <v>5422</v>
      </c>
      <c r="B5425" s="10" t="s">
        <v>4840</v>
      </c>
      <c r="C5425" s="10" t="s">
        <v>4841</v>
      </c>
      <c r="D5425" s="10" t="s">
        <v>5276</v>
      </c>
      <c r="E5425" s="10" t="str">
        <f>"644020240513194554176676"</f>
        <v>644020240513194554176676</v>
      </c>
      <c r="F5425" s="9"/>
    </row>
    <row r="5426" s="2" customFormat="1" ht="30" customHeight="1" spans="1:6">
      <c r="A5426" s="9">
        <v>5423</v>
      </c>
      <c r="B5426" s="10" t="s">
        <v>4840</v>
      </c>
      <c r="C5426" s="10" t="s">
        <v>4841</v>
      </c>
      <c r="D5426" s="10" t="s">
        <v>5277</v>
      </c>
      <c r="E5426" s="10" t="str">
        <f>"644020240513124957174442"</f>
        <v>644020240513124957174442</v>
      </c>
      <c r="F5426" s="9"/>
    </row>
    <row r="5427" s="2" customFormat="1" ht="30" customHeight="1" spans="1:6">
      <c r="A5427" s="9">
        <v>5424</v>
      </c>
      <c r="B5427" s="10" t="s">
        <v>4840</v>
      </c>
      <c r="C5427" s="10" t="s">
        <v>4841</v>
      </c>
      <c r="D5427" s="10" t="s">
        <v>5278</v>
      </c>
      <c r="E5427" s="10" t="str">
        <f>"644020240513084235172372"</f>
        <v>644020240513084235172372</v>
      </c>
      <c r="F5427" s="9"/>
    </row>
    <row r="5428" s="2" customFormat="1" ht="30" customHeight="1" spans="1:6">
      <c r="A5428" s="9">
        <v>5425</v>
      </c>
      <c r="B5428" s="10" t="s">
        <v>4840</v>
      </c>
      <c r="C5428" s="10" t="s">
        <v>4841</v>
      </c>
      <c r="D5428" s="10" t="s">
        <v>3502</v>
      </c>
      <c r="E5428" s="10" t="str">
        <f>"644020240512140627169471"</f>
        <v>644020240512140627169471</v>
      </c>
      <c r="F5428" s="9"/>
    </row>
    <row r="5429" s="2" customFormat="1" ht="30" customHeight="1" spans="1:6">
      <c r="A5429" s="9">
        <v>5426</v>
      </c>
      <c r="B5429" s="10" t="s">
        <v>4840</v>
      </c>
      <c r="C5429" s="10" t="s">
        <v>4841</v>
      </c>
      <c r="D5429" s="10" t="s">
        <v>5279</v>
      </c>
      <c r="E5429" s="10" t="str">
        <f>"644020240513094824172997"</f>
        <v>644020240513094824172997</v>
      </c>
      <c r="F5429" s="9"/>
    </row>
    <row r="5430" s="2" customFormat="1" ht="30" customHeight="1" spans="1:6">
      <c r="A5430" s="9">
        <v>5427</v>
      </c>
      <c r="B5430" s="10" t="s">
        <v>4840</v>
      </c>
      <c r="C5430" s="10" t="s">
        <v>4841</v>
      </c>
      <c r="D5430" s="10" t="s">
        <v>5280</v>
      </c>
      <c r="E5430" s="10" t="str">
        <f>"644020240513112334173909"</f>
        <v>644020240513112334173909</v>
      </c>
      <c r="F5430" s="9"/>
    </row>
    <row r="5431" s="2" customFormat="1" ht="30" customHeight="1" spans="1:6">
      <c r="A5431" s="9">
        <v>5428</v>
      </c>
      <c r="B5431" s="10" t="s">
        <v>4840</v>
      </c>
      <c r="C5431" s="10" t="s">
        <v>4841</v>
      </c>
      <c r="D5431" s="10" t="s">
        <v>5281</v>
      </c>
      <c r="E5431" s="10" t="str">
        <f>"644020240513200232176732"</f>
        <v>644020240513200232176732</v>
      </c>
      <c r="F5431" s="9"/>
    </row>
    <row r="5432" s="2" customFormat="1" ht="30" customHeight="1" spans="1:6">
      <c r="A5432" s="9">
        <v>5429</v>
      </c>
      <c r="B5432" s="10" t="s">
        <v>4840</v>
      </c>
      <c r="C5432" s="10" t="s">
        <v>4841</v>
      </c>
      <c r="D5432" s="10" t="s">
        <v>5282</v>
      </c>
      <c r="E5432" s="10" t="str">
        <f>"644020240512153203169770"</f>
        <v>644020240512153203169770</v>
      </c>
      <c r="F5432" s="9"/>
    </row>
    <row r="5433" s="2" customFormat="1" ht="30" customHeight="1" spans="1:6">
      <c r="A5433" s="9">
        <v>5430</v>
      </c>
      <c r="B5433" s="10" t="s">
        <v>4840</v>
      </c>
      <c r="C5433" s="10" t="s">
        <v>4841</v>
      </c>
      <c r="D5433" s="10" t="s">
        <v>5283</v>
      </c>
      <c r="E5433" s="10" t="str">
        <f>"644020240513200541176744"</f>
        <v>644020240513200541176744</v>
      </c>
      <c r="F5433" s="9"/>
    </row>
    <row r="5434" s="2" customFormat="1" ht="30" customHeight="1" spans="1:6">
      <c r="A5434" s="9">
        <v>5431</v>
      </c>
      <c r="B5434" s="10" t="s">
        <v>4840</v>
      </c>
      <c r="C5434" s="10" t="s">
        <v>4841</v>
      </c>
      <c r="D5434" s="10" t="s">
        <v>5284</v>
      </c>
      <c r="E5434" s="10" t="str">
        <f>"644020240513200850176755"</f>
        <v>644020240513200850176755</v>
      </c>
      <c r="F5434" s="9"/>
    </row>
    <row r="5435" s="2" customFormat="1" ht="30" customHeight="1" spans="1:6">
      <c r="A5435" s="9">
        <v>5432</v>
      </c>
      <c r="B5435" s="10" t="s">
        <v>4840</v>
      </c>
      <c r="C5435" s="10" t="s">
        <v>4841</v>
      </c>
      <c r="D5435" s="10" t="s">
        <v>5285</v>
      </c>
      <c r="E5435" s="10" t="str">
        <f>"644020240513144016175034"</f>
        <v>644020240513144016175034</v>
      </c>
      <c r="F5435" s="9"/>
    </row>
    <row r="5436" s="2" customFormat="1" ht="30" customHeight="1" spans="1:6">
      <c r="A5436" s="9">
        <v>5433</v>
      </c>
      <c r="B5436" s="10" t="s">
        <v>4840</v>
      </c>
      <c r="C5436" s="10" t="s">
        <v>4841</v>
      </c>
      <c r="D5436" s="10" t="s">
        <v>5286</v>
      </c>
      <c r="E5436" s="10" t="str">
        <f>"644020240512193627170624"</f>
        <v>644020240512193627170624</v>
      </c>
      <c r="F5436" s="9"/>
    </row>
    <row r="5437" s="2" customFormat="1" ht="30" customHeight="1" spans="1:6">
      <c r="A5437" s="9">
        <v>5434</v>
      </c>
      <c r="B5437" s="10" t="s">
        <v>4840</v>
      </c>
      <c r="C5437" s="10" t="s">
        <v>4841</v>
      </c>
      <c r="D5437" s="10" t="s">
        <v>5287</v>
      </c>
      <c r="E5437" s="10" t="str">
        <f>"644020240512091017168141"</f>
        <v>644020240512091017168141</v>
      </c>
      <c r="F5437" s="9"/>
    </row>
    <row r="5438" s="2" customFormat="1" ht="30" customHeight="1" spans="1:6">
      <c r="A5438" s="9">
        <v>5435</v>
      </c>
      <c r="B5438" s="10" t="s">
        <v>4840</v>
      </c>
      <c r="C5438" s="10" t="s">
        <v>4841</v>
      </c>
      <c r="D5438" s="10" t="s">
        <v>4237</v>
      </c>
      <c r="E5438" s="10" t="str">
        <f>"644020240513195345176703"</f>
        <v>644020240513195345176703</v>
      </c>
      <c r="F5438" s="9"/>
    </row>
    <row r="5439" s="2" customFormat="1" ht="30" customHeight="1" spans="1:6">
      <c r="A5439" s="9">
        <v>5436</v>
      </c>
      <c r="B5439" s="10" t="s">
        <v>4840</v>
      </c>
      <c r="C5439" s="10" t="s">
        <v>4841</v>
      </c>
      <c r="D5439" s="10" t="s">
        <v>5288</v>
      </c>
      <c r="E5439" s="10" t="str">
        <f>"644020240513194651176678"</f>
        <v>644020240513194651176678</v>
      </c>
      <c r="F5439" s="9"/>
    </row>
    <row r="5440" s="2" customFormat="1" ht="30" customHeight="1" spans="1:6">
      <c r="A5440" s="9">
        <v>5437</v>
      </c>
      <c r="B5440" s="10" t="s">
        <v>4840</v>
      </c>
      <c r="C5440" s="10" t="s">
        <v>4841</v>
      </c>
      <c r="D5440" s="10" t="s">
        <v>5289</v>
      </c>
      <c r="E5440" s="10" t="str">
        <f>"644020240513200014176725"</f>
        <v>644020240513200014176725</v>
      </c>
      <c r="F5440" s="9"/>
    </row>
    <row r="5441" s="2" customFormat="1" ht="30" customHeight="1" spans="1:6">
      <c r="A5441" s="9">
        <v>5438</v>
      </c>
      <c r="B5441" s="10" t="s">
        <v>4840</v>
      </c>
      <c r="C5441" s="10" t="s">
        <v>4841</v>
      </c>
      <c r="D5441" s="10" t="s">
        <v>5290</v>
      </c>
      <c r="E5441" s="10" t="str">
        <f>"644020240513152425175417"</f>
        <v>644020240513152425175417</v>
      </c>
      <c r="F5441" s="9"/>
    </row>
    <row r="5442" s="2" customFormat="1" ht="30" customHeight="1" spans="1:6">
      <c r="A5442" s="9">
        <v>5439</v>
      </c>
      <c r="B5442" s="10" t="s">
        <v>4840</v>
      </c>
      <c r="C5442" s="10" t="s">
        <v>4841</v>
      </c>
      <c r="D5442" s="10" t="s">
        <v>5291</v>
      </c>
      <c r="E5442" s="10" t="str">
        <f>"644020240513202442176805"</f>
        <v>644020240513202442176805</v>
      </c>
      <c r="F5442" s="9"/>
    </row>
    <row r="5443" s="2" customFormat="1" ht="30" customHeight="1" spans="1:6">
      <c r="A5443" s="9">
        <v>5440</v>
      </c>
      <c r="B5443" s="10" t="s">
        <v>4840</v>
      </c>
      <c r="C5443" s="10" t="s">
        <v>4841</v>
      </c>
      <c r="D5443" s="10" t="s">
        <v>5292</v>
      </c>
      <c r="E5443" s="10" t="str">
        <f>"644020240513202102176796"</f>
        <v>644020240513202102176796</v>
      </c>
      <c r="F5443" s="9"/>
    </row>
    <row r="5444" s="2" customFormat="1" ht="30" customHeight="1" spans="1:6">
      <c r="A5444" s="9">
        <v>5441</v>
      </c>
      <c r="B5444" s="10" t="s">
        <v>4840</v>
      </c>
      <c r="C5444" s="10" t="s">
        <v>4841</v>
      </c>
      <c r="D5444" s="10" t="s">
        <v>5293</v>
      </c>
      <c r="E5444" s="10" t="str">
        <f>"644020240513163755175982"</f>
        <v>644020240513163755175982</v>
      </c>
      <c r="F5444" s="9"/>
    </row>
    <row r="5445" s="2" customFormat="1" ht="30" customHeight="1" spans="1:6">
      <c r="A5445" s="9">
        <v>5442</v>
      </c>
      <c r="B5445" s="10" t="s">
        <v>4840</v>
      </c>
      <c r="C5445" s="10" t="s">
        <v>4841</v>
      </c>
      <c r="D5445" s="10" t="s">
        <v>5294</v>
      </c>
      <c r="E5445" s="10" t="str">
        <f>"644020240513191730176572"</f>
        <v>644020240513191730176572</v>
      </c>
      <c r="F5445" s="9"/>
    </row>
    <row r="5446" s="2" customFormat="1" ht="30" customHeight="1" spans="1:6">
      <c r="A5446" s="9">
        <v>5443</v>
      </c>
      <c r="B5446" s="10" t="s">
        <v>4840</v>
      </c>
      <c r="C5446" s="10" t="s">
        <v>4841</v>
      </c>
      <c r="D5446" s="10" t="s">
        <v>5295</v>
      </c>
      <c r="E5446" s="10" t="str">
        <f>"644020240512231638171764"</f>
        <v>644020240512231638171764</v>
      </c>
      <c r="F5446" s="9"/>
    </row>
    <row r="5447" s="2" customFormat="1" ht="30" customHeight="1" spans="1:6">
      <c r="A5447" s="9">
        <v>5444</v>
      </c>
      <c r="B5447" s="10" t="s">
        <v>4840</v>
      </c>
      <c r="C5447" s="10" t="s">
        <v>4841</v>
      </c>
      <c r="D5447" s="10" t="s">
        <v>5296</v>
      </c>
      <c r="E5447" s="10" t="str">
        <f>"644020240512144716169600"</f>
        <v>644020240512144716169600</v>
      </c>
      <c r="F5447" s="9"/>
    </row>
    <row r="5448" s="2" customFormat="1" ht="30" customHeight="1" spans="1:6">
      <c r="A5448" s="9">
        <v>5445</v>
      </c>
      <c r="B5448" s="10" t="s">
        <v>4840</v>
      </c>
      <c r="C5448" s="10" t="s">
        <v>4841</v>
      </c>
      <c r="D5448" s="10" t="s">
        <v>5297</v>
      </c>
      <c r="E5448" s="10" t="str">
        <f>"644020240513204913176912"</f>
        <v>644020240513204913176912</v>
      </c>
      <c r="F5448" s="9"/>
    </row>
    <row r="5449" s="2" customFormat="1" ht="30" customHeight="1" spans="1:6">
      <c r="A5449" s="9">
        <v>5446</v>
      </c>
      <c r="B5449" s="10" t="s">
        <v>4840</v>
      </c>
      <c r="C5449" s="10" t="s">
        <v>4841</v>
      </c>
      <c r="D5449" s="10" t="s">
        <v>5298</v>
      </c>
      <c r="E5449" s="10" t="str">
        <f>"644020240513200744176750"</f>
        <v>644020240513200744176750</v>
      </c>
      <c r="F5449" s="9"/>
    </row>
    <row r="5450" s="2" customFormat="1" ht="30" customHeight="1" spans="1:6">
      <c r="A5450" s="9">
        <v>5447</v>
      </c>
      <c r="B5450" s="10" t="s">
        <v>4840</v>
      </c>
      <c r="C5450" s="10" t="s">
        <v>4841</v>
      </c>
      <c r="D5450" s="10" t="s">
        <v>5299</v>
      </c>
      <c r="E5450" s="10" t="str">
        <f>"644020240513202625176810"</f>
        <v>644020240513202625176810</v>
      </c>
      <c r="F5450" s="9"/>
    </row>
    <row r="5451" s="2" customFormat="1" ht="30" customHeight="1" spans="1:6">
      <c r="A5451" s="9">
        <v>5448</v>
      </c>
      <c r="B5451" s="10" t="s">
        <v>4840</v>
      </c>
      <c r="C5451" s="10" t="s">
        <v>4841</v>
      </c>
      <c r="D5451" s="10" t="s">
        <v>5300</v>
      </c>
      <c r="E5451" s="10" t="str">
        <f>"644020240513203618176858"</f>
        <v>644020240513203618176858</v>
      </c>
      <c r="F5451" s="9"/>
    </row>
    <row r="5452" s="2" customFormat="1" ht="30" customHeight="1" spans="1:6">
      <c r="A5452" s="9">
        <v>5449</v>
      </c>
      <c r="B5452" s="10" t="s">
        <v>4840</v>
      </c>
      <c r="C5452" s="10" t="s">
        <v>4841</v>
      </c>
      <c r="D5452" s="10" t="s">
        <v>5301</v>
      </c>
      <c r="E5452" s="10" t="str">
        <f>"644020240513204647176905"</f>
        <v>644020240513204647176905</v>
      </c>
      <c r="F5452" s="9"/>
    </row>
    <row r="5453" s="2" customFormat="1" ht="30" customHeight="1" spans="1:6">
      <c r="A5453" s="9">
        <v>5450</v>
      </c>
      <c r="B5453" s="10" t="s">
        <v>4840</v>
      </c>
      <c r="C5453" s="10" t="s">
        <v>4841</v>
      </c>
      <c r="D5453" s="10" t="s">
        <v>5302</v>
      </c>
      <c r="E5453" s="10" t="str">
        <f>"644020240512172643170199"</f>
        <v>644020240512172643170199</v>
      </c>
      <c r="F5453" s="9"/>
    </row>
    <row r="5454" s="2" customFormat="1" ht="30" customHeight="1" spans="1:6">
      <c r="A5454" s="9">
        <v>5451</v>
      </c>
      <c r="B5454" s="10" t="s">
        <v>4840</v>
      </c>
      <c r="C5454" s="10" t="s">
        <v>4841</v>
      </c>
      <c r="D5454" s="10" t="s">
        <v>5303</v>
      </c>
      <c r="E5454" s="10" t="str">
        <f>"644020240513205336176935"</f>
        <v>644020240513205336176935</v>
      </c>
      <c r="F5454" s="9"/>
    </row>
    <row r="5455" s="2" customFormat="1" ht="30" customHeight="1" spans="1:6">
      <c r="A5455" s="9">
        <v>5452</v>
      </c>
      <c r="B5455" s="10" t="s">
        <v>4840</v>
      </c>
      <c r="C5455" s="10" t="s">
        <v>4841</v>
      </c>
      <c r="D5455" s="10" t="s">
        <v>5304</v>
      </c>
      <c r="E5455" s="10" t="str">
        <f>"644020240513205426176938"</f>
        <v>644020240513205426176938</v>
      </c>
      <c r="F5455" s="9"/>
    </row>
    <row r="5456" s="2" customFormat="1" ht="30" customHeight="1" spans="1:6">
      <c r="A5456" s="9">
        <v>5453</v>
      </c>
      <c r="B5456" s="10" t="s">
        <v>4840</v>
      </c>
      <c r="C5456" s="10" t="s">
        <v>4841</v>
      </c>
      <c r="D5456" s="10" t="s">
        <v>5305</v>
      </c>
      <c r="E5456" s="10" t="str">
        <f>"644020240513130153174525"</f>
        <v>644020240513130153174525</v>
      </c>
      <c r="F5456" s="9"/>
    </row>
    <row r="5457" s="2" customFormat="1" ht="30" customHeight="1" spans="1:6">
      <c r="A5457" s="9">
        <v>5454</v>
      </c>
      <c r="B5457" s="10" t="s">
        <v>4840</v>
      </c>
      <c r="C5457" s="10" t="s">
        <v>4841</v>
      </c>
      <c r="D5457" s="10" t="s">
        <v>5306</v>
      </c>
      <c r="E5457" s="10" t="str">
        <f>"644020240513203924176877"</f>
        <v>644020240513203924176877</v>
      </c>
      <c r="F5457" s="9"/>
    </row>
    <row r="5458" s="2" customFormat="1" ht="30" customHeight="1" spans="1:6">
      <c r="A5458" s="9">
        <v>5455</v>
      </c>
      <c r="B5458" s="10" t="s">
        <v>4840</v>
      </c>
      <c r="C5458" s="10" t="s">
        <v>4841</v>
      </c>
      <c r="D5458" s="10" t="s">
        <v>5307</v>
      </c>
      <c r="E5458" s="10" t="str">
        <f>"644020240513205839176953"</f>
        <v>644020240513205839176953</v>
      </c>
      <c r="F5458" s="9"/>
    </row>
    <row r="5459" s="2" customFormat="1" ht="30" customHeight="1" spans="1:6">
      <c r="A5459" s="9">
        <v>5456</v>
      </c>
      <c r="B5459" s="10" t="s">
        <v>4840</v>
      </c>
      <c r="C5459" s="10" t="s">
        <v>4841</v>
      </c>
      <c r="D5459" s="10" t="s">
        <v>5308</v>
      </c>
      <c r="E5459" s="10" t="str">
        <f>"644020240513204422176897"</f>
        <v>644020240513204422176897</v>
      </c>
      <c r="F5459" s="9"/>
    </row>
    <row r="5460" s="2" customFormat="1" ht="30" customHeight="1" spans="1:6">
      <c r="A5460" s="9">
        <v>5457</v>
      </c>
      <c r="B5460" s="10" t="s">
        <v>4840</v>
      </c>
      <c r="C5460" s="10" t="s">
        <v>4841</v>
      </c>
      <c r="D5460" s="10" t="s">
        <v>5309</v>
      </c>
      <c r="E5460" s="10" t="str">
        <f>"644020240513210715176989"</f>
        <v>644020240513210715176989</v>
      </c>
      <c r="F5460" s="9"/>
    </row>
    <row r="5461" s="2" customFormat="1" ht="30" customHeight="1" spans="1:6">
      <c r="A5461" s="9">
        <v>5458</v>
      </c>
      <c r="B5461" s="10" t="s">
        <v>4840</v>
      </c>
      <c r="C5461" s="10" t="s">
        <v>4841</v>
      </c>
      <c r="D5461" s="10" t="s">
        <v>5310</v>
      </c>
      <c r="E5461" s="10" t="str">
        <f>"644020240512220820171371"</f>
        <v>644020240512220820171371</v>
      </c>
      <c r="F5461" s="9"/>
    </row>
    <row r="5462" s="2" customFormat="1" ht="30" customHeight="1" spans="1:6">
      <c r="A5462" s="9">
        <v>5459</v>
      </c>
      <c r="B5462" s="10" t="s">
        <v>4840</v>
      </c>
      <c r="C5462" s="10" t="s">
        <v>4841</v>
      </c>
      <c r="D5462" s="10" t="s">
        <v>5311</v>
      </c>
      <c r="E5462" s="10" t="str">
        <f>"644020240513144019175037"</f>
        <v>644020240513144019175037</v>
      </c>
      <c r="F5462" s="9"/>
    </row>
    <row r="5463" s="2" customFormat="1" ht="30" customHeight="1" spans="1:6">
      <c r="A5463" s="9">
        <v>5460</v>
      </c>
      <c r="B5463" s="10" t="s">
        <v>4840</v>
      </c>
      <c r="C5463" s="10" t="s">
        <v>4841</v>
      </c>
      <c r="D5463" s="10" t="s">
        <v>5312</v>
      </c>
      <c r="E5463" s="10" t="str">
        <f>"644020240513102424173356"</f>
        <v>644020240513102424173356</v>
      </c>
      <c r="F5463" s="9"/>
    </row>
    <row r="5464" s="2" customFormat="1" ht="30" customHeight="1" spans="1:6">
      <c r="A5464" s="9">
        <v>5461</v>
      </c>
      <c r="B5464" s="10" t="s">
        <v>4840</v>
      </c>
      <c r="C5464" s="10" t="s">
        <v>4841</v>
      </c>
      <c r="D5464" s="10" t="s">
        <v>5313</v>
      </c>
      <c r="E5464" s="10" t="str">
        <f>"644020240513204436176899"</f>
        <v>644020240513204436176899</v>
      </c>
      <c r="F5464" s="9"/>
    </row>
    <row r="5465" s="2" customFormat="1" ht="30" customHeight="1" spans="1:6">
      <c r="A5465" s="9">
        <v>5462</v>
      </c>
      <c r="B5465" s="10" t="s">
        <v>4840</v>
      </c>
      <c r="C5465" s="10" t="s">
        <v>4841</v>
      </c>
      <c r="D5465" s="10" t="s">
        <v>3611</v>
      </c>
      <c r="E5465" s="10" t="str">
        <f>"644020240513203732176866"</f>
        <v>644020240513203732176866</v>
      </c>
      <c r="F5465" s="9"/>
    </row>
    <row r="5466" s="2" customFormat="1" ht="30" customHeight="1" spans="1:6">
      <c r="A5466" s="9">
        <v>5463</v>
      </c>
      <c r="B5466" s="10" t="s">
        <v>4840</v>
      </c>
      <c r="C5466" s="10" t="s">
        <v>4841</v>
      </c>
      <c r="D5466" s="10" t="s">
        <v>5314</v>
      </c>
      <c r="E5466" s="10" t="str">
        <f>"644020240513173332176248"</f>
        <v>644020240513173332176248</v>
      </c>
      <c r="F5466" s="9"/>
    </row>
    <row r="5467" s="2" customFormat="1" ht="30" customHeight="1" spans="1:6">
      <c r="A5467" s="9">
        <v>5464</v>
      </c>
      <c r="B5467" s="10" t="s">
        <v>4840</v>
      </c>
      <c r="C5467" s="10" t="s">
        <v>4841</v>
      </c>
      <c r="D5467" s="10" t="s">
        <v>5315</v>
      </c>
      <c r="E5467" s="10" t="str">
        <f>"644020240513211211177009"</f>
        <v>644020240513211211177009</v>
      </c>
      <c r="F5467" s="9"/>
    </row>
    <row r="5468" s="2" customFormat="1" ht="30" customHeight="1" spans="1:6">
      <c r="A5468" s="9">
        <v>5465</v>
      </c>
      <c r="B5468" s="10" t="s">
        <v>4840</v>
      </c>
      <c r="C5468" s="10" t="s">
        <v>4841</v>
      </c>
      <c r="D5468" s="10" t="s">
        <v>5316</v>
      </c>
      <c r="E5468" s="10" t="str">
        <f>"644020240513204031176883"</f>
        <v>644020240513204031176883</v>
      </c>
      <c r="F5468" s="9"/>
    </row>
    <row r="5469" s="2" customFormat="1" ht="30" customHeight="1" spans="1:6">
      <c r="A5469" s="9">
        <v>5466</v>
      </c>
      <c r="B5469" s="10" t="s">
        <v>4840</v>
      </c>
      <c r="C5469" s="10" t="s">
        <v>4841</v>
      </c>
      <c r="D5469" s="10" t="s">
        <v>5317</v>
      </c>
      <c r="E5469" s="10" t="str">
        <f>"644020240513211528177027"</f>
        <v>644020240513211528177027</v>
      </c>
      <c r="F5469" s="9"/>
    </row>
    <row r="5470" s="2" customFormat="1" ht="30" customHeight="1" spans="1:6">
      <c r="A5470" s="9">
        <v>5467</v>
      </c>
      <c r="B5470" s="10" t="s">
        <v>4840</v>
      </c>
      <c r="C5470" s="10" t="s">
        <v>4841</v>
      </c>
      <c r="D5470" s="10" t="s">
        <v>5318</v>
      </c>
      <c r="E5470" s="10" t="str">
        <f>"644020240512103554168598"</f>
        <v>644020240512103554168598</v>
      </c>
      <c r="F5470" s="9"/>
    </row>
    <row r="5471" s="2" customFormat="1" ht="30" customHeight="1" spans="1:6">
      <c r="A5471" s="9">
        <v>5468</v>
      </c>
      <c r="B5471" s="10" t="s">
        <v>4840</v>
      </c>
      <c r="C5471" s="10" t="s">
        <v>4841</v>
      </c>
      <c r="D5471" s="10" t="s">
        <v>5319</v>
      </c>
      <c r="E5471" s="10" t="str">
        <f>"644020240513212203177056"</f>
        <v>644020240513212203177056</v>
      </c>
      <c r="F5471" s="9"/>
    </row>
    <row r="5472" s="2" customFormat="1" ht="30" customHeight="1" spans="1:6">
      <c r="A5472" s="9">
        <v>5469</v>
      </c>
      <c r="B5472" s="10" t="s">
        <v>4840</v>
      </c>
      <c r="C5472" s="10" t="s">
        <v>4841</v>
      </c>
      <c r="D5472" s="10" t="s">
        <v>5320</v>
      </c>
      <c r="E5472" s="10" t="str">
        <f>"644020240513150756175258"</f>
        <v>644020240513150756175258</v>
      </c>
      <c r="F5472" s="9"/>
    </row>
    <row r="5473" s="2" customFormat="1" ht="30" customHeight="1" spans="1:6">
      <c r="A5473" s="9">
        <v>5470</v>
      </c>
      <c r="B5473" s="10" t="s">
        <v>4840</v>
      </c>
      <c r="C5473" s="10" t="s">
        <v>4841</v>
      </c>
      <c r="D5473" s="10" t="s">
        <v>5321</v>
      </c>
      <c r="E5473" s="10" t="str">
        <f>"644020240512235924171919"</f>
        <v>644020240512235924171919</v>
      </c>
      <c r="F5473" s="9"/>
    </row>
    <row r="5474" s="2" customFormat="1" ht="30" customHeight="1" spans="1:6">
      <c r="A5474" s="9">
        <v>5471</v>
      </c>
      <c r="B5474" s="10" t="s">
        <v>4840</v>
      </c>
      <c r="C5474" s="10" t="s">
        <v>4841</v>
      </c>
      <c r="D5474" s="10" t="s">
        <v>5322</v>
      </c>
      <c r="E5474" s="10" t="str">
        <f>"644020240513215344177188"</f>
        <v>644020240513215344177188</v>
      </c>
      <c r="F5474" s="9"/>
    </row>
    <row r="5475" s="2" customFormat="1" ht="30" customHeight="1" spans="1:6">
      <c r="A5475" s="9">
        <v>5472</v>
      </c>
      <c r="B5475" s="10" t="s">
        <v>4840</v>
      </c>
      <c r="C5475" s="10" t="s">
        <v>4841</v>
      </c>
      <c r="D5475" s="10" t="s">
        <v>5323</v>
      </c>
      <c r="E5475" s="10" t="str">
        <f>"644020240512195125170675"</f>
        <v>644020240512195125170675</v>
      </c>
      <c r="F5475" s="9"/>
    </row>
    <row r="5476" s="2" customFormat="1" ht="30" customHeight="1" spans="1:6">
      <c r="A5476" s="9">
        <v>5473</v>
      </c>
      <c r="B5476" s="10" t="s">
        <v>4840</v>
      </c>
      <c r="C5476" s="10" t="s">
        <v>4841</v>
      </c>
      <c r="D5476" s="10" t="s">
        <v>5324</v>
      </c>
      <c r="E5476" s="10" t="str">
        <f>"644020240513215423177193"</f>
        <v>644020240513215423177193</v>
      </c>
      <c r="F5476" s="9"/>
    </row>
    <row r="5477" s="2" customFormat="1" ht="30" customHeight="1" spans="1:6">
      <c r="A5477" s="9">
        <v>5474</v>
      </c>
      <c r="B5477" s="10" t="s">
        <v>4840</v>
      </c>
      <c r="C5477" s="10" t="s">
        <v>4841</v>
      </c>
      <c r="D5477" s="10" t="s">
        <v>5325</v>
      </c>
      <c r="E5477" s="10" t="str">
        <f>"644020240513215951177222"</f>
        <v>644020240513215951177222</v>
      </c>
      <c r="F5477" s="9"/>
    </row>
    <row r="5478" s="2" customFormat="1" ht="30" customHeight="1" spans="1:6">
      <c r="A5478" s="9">
        <v>5475</v>
      </c>
      <c r="B5478" s="10" t="s">
        <v>4840</v>
      </c>
      <c r="C5478" s="10" t="s">
        <v>4841</v>
      </c>
      <c r="D5478" s="10" t="s">
        <v>5326</v>
      </c>
      <c r="E5478" s="10" t="str">
        <f>"644020240513215211177181"</f>
        <v>644020240513215211177181</v>
      </c>
      <c r="F5478" s="9"/>
    </row>
    <row r="5479" s="2" customFormat="1" ht="30" customHeight="1" spans="1:6">
      <c r="A5479" s="9">
        <v>5476</v>
      </c>
      <c r="B5479" s="10" t="s">
        <v>4840</v>
      </c>
      <c r="C5479" s="10" t="s">
        <v>4841</v>
      </c>
      <c r="D5479" s="10" t="s">
        <v>5327</v>
      </c>
      <c r="E5479" s="10" t="str">
        <f>"644020240513220120177226"</f>
        <v>644020240513220120177226</v>
      </c>
      <c r="F5479" s="9"/>
    </row>
    <row r="5480" s="2" customFormat="1" ht="30" customHeight="1" spans="1:6">
      <c r="A5480" s="9">
        <v>5477</v>
      </c>
      <c r="B5480" s="10" t="s">
        <v>4840</v>
      </c>
      <c r="C5480" s="10" t="s">
        <v>4841</v>
      </c>
      <c r="D5480" s="10" t="s">
        <v>5328</v>
      </c>
      <c r="E5480" s="10" t="str">
        <f>"644020240513215031177174"</f>
        <v>644020240513215031177174</v>
      </c>
      <c r="F5480" s="9"/>
    </row>
    <row r="5481" s="2" customFormat="1" ht="30" customHeight="1" spans="1:6">
      <c r="A5481" s="9">
        <v>5478</v>
      </c>
      <c r="B5481" s="10" t="s">
        <v>4840</v>
      </c>
      <c r="C5481" s="10" t="s">
        <v>4841</v>
      </c>
      <c r="D5481" s="10" t="s">
        <v>5329</v>
      </c>
      <c r="E5481" s="10" t="str">
        <f>"644020240513164921176044"</f>
        <v>644020240513164921176044</v>
      </c>
      <c r="F5481" s="9"/>
    </row>
    <row r="5482" s="2" customFormat="1" ht="30" customHeight="1" spans="1:6">
      <c r="A5482" s="9">
        <v>5479</v>
      </c>
      <c r="B5482" s="10" t="s">
        <v>4840</v>
      </c>
      <c r="C5482" s="10" t="s">
        <v>4841</v>
      </c>
      <c r="D5482" s="10" t="s">
        <v>5330</v>
      </c>
      <c r="E5482" s="10" t="str">
        <f>"644020240513093221172828"</f>
        <v>644020240513093221172828</v>
      </c>
      <c r="F5482" s="9"/>
    </row>
    <row r="5483" s="2" customFormat="1" ht="30" customHeight="1" spans="1:6">
      <c r="A5483" s="9">
        <v>5480</v>
      </c>
      <c r="B5483" s="10" t="s">
        <v>4840</v>
      </c>
      <c r="C5483" s="10" t="s">
        <v>4841</v>
      </c>
      <c r="D5483" s="10" t="s">
        <v>5331</v>
      </c>
      <c r="E5483" s="10" t="str">
        <f>"644020240513212902177086"</f>
        <v>644020240513212902177086</v>
      </c>
      <c r="F5483" s="9"/>
    </row>
    <row r="5484" s="2" customFormat="1" ht="30" customHeight="1" spans="1:6">
      <c r="A5484" s="9">
        <v>5481</v>
      </c>
      <c r="B5484" s="10" t="s">
        <v>4840</v>
      </c>
      <c r="C5484" s="10" t="s">
        <v>4841</v>
      </c>
      <c r="D5484" s="10" t="s">
        <v>5332</v>
      </c>
      <c r="E5484" s="10" t="str">
        <f>"644020240513220542177250"</f>
        <v>644020240513220542177250</v>
      </c>
      <c r="F5484" s="9"/>
    </row>
    <row r="5485" s="2" customFormat="1" ht="30" customHeight="1" spans="1:6">
      <c r="A5485" s="9">
        <v>5482</v>
      </c>
      <c r="B5485" s="10" t="s">
        <v>4840</v>
      </c>
      <c r="C5485" s="10" t="s">
        <v>4841</v>
      </c>
      <c r="D5485" s="10" t="s">
        <v>3552</v>
      </c>
      <c r="E5485" s="10" t="str">
        <f>"644020240513221712177308"</f>
        <v>644020240513221712177308</v>
      </c>
      <c r="F5485" s="9"/>
    </row>
    <row r="5486" s="2" customFormat="1" ht="30" customHeight="1" spans="1:6">
      <c r="A5486" s="9">
        <v>5483</v>
      </c>
      <c r="B5486" s="10" t="s">
        <v>4840</v>
      </c>
      <c r="C5486" s="10" t="s">
        <v>4841</v>
      </c>
      <c r="D5486" s="10" t="s">
        <v>5333</v>
      </c>
      <c r="E5486" s="10" t="str">
        <f>"644020240512214214171218"</f>
        <v>644020240512214214171218</v>
      </c>
      <c r="F5486" s="9"/>
    </row>
    <row r="5487" s="2" customFormat="1" ht="30" customHeight="1" spans="1:6">
      <c r="A5487" s="9">
        <v>5484</v>
      </c>
      <c r="B5487" s="10" t="s">
        <v>4840</v>
      </c>
      <c r="C5487" s="10" t="s">
        <v>4841</v>
      </c>
      <c r="D5487" s="10" t="s">
        <v>5334</v>
      </c>
      <c r="E5487" s="10" t="str">
        <f>"644020240512174137170253"</f>
        <v>644020240512174137170253</v>
      </c>
      <c r="F5487" s="9"/>
    </row>
    <row r="5488" s="2" customFormat="1" ht="30" customHeight="1" spans="1:6">
      <c r="A5488" s="9">
        <v>5485</v>
      </c>
      <c r="B5488" s="10" t="s">
        <v>4840</v>
      </c>
      <c r="C5488" s="10" t="s">
        <v>4841</v>
      </c>
      <c r="D5488" s="10" t="s">
        <v>5335</v>
      </c>
      <c r="E5488" s="10" t="str">
        <f>"644020240513215552177202"</f>
        <v>644020240513215552177202</v>
      </c>
      <c r="F5488" s="9"/>
    </row>
    <row r="5489" s="2" customFormat="1" ht="30" customHeight="1" spans="1:6">
      <c r="A5489" s="9">
        <v>5486</v>
      </c>
      <c r="B5489" s="10" t="s">
        <v>4840</v>
      </c>
      <c r="C5489" s="10" t="s">
        <v>4841</v>
      </c>
      <c r="D5489" s="10" t="s">
        <v>5336</v>
      </c>
      <c r="E5489" s="10" t="str">
        <f>"644020240513211054177003"</f>
        <v>644020240513211054177003</v>
      </c>
      <c r="F5489" s="9"/>
    </row>
    <row r="5490" s="2" customFormat="1" ht="30" customHeight="1" spans="1:6">
      <c r="A5490" s="9">
        <v>5487</v>
      </c>
      <c r="B5490" s="10" t="s">
        <v>4840</v>
      </c>
      <c r="C5490" s="10" t="s">
        <v>4841</v>
      </c>
      <c r="D5490" s="10" t="s">
        <v>5337</v>
      </c>
      <c r="E5490" s="10" t="str">
        <f>"644020240512222358171460"</f>
        <v>644020240512222358171460</v>
      </c>
      <c r="F5490" s="9"/>
    </row>
    <row r="5491" s="2" customFormat="1" ht="30" customHeight="1" spans="1:6">
      <c r="A5491" s="9">
        <v>5488</v>
      </c>
      <c r="B5491" s="10" t="s">
        <v>4840</v>
      </c>
      <c r="C5491" s="10" t="s">
        <v>4841</v>
      </c>
      <c r="D5491" s="10" t="s">
        <v>5338</v>
      </c>
      <c r="E5491" s="10" t="str">
        <f>"644020240513111939173879"</f>
        <v>644020240513111939173879</v>
      </c>
      <c r="F5491" s="9"/>
    </row>
    <row r="5492" s="2" customFormat="1" ht="30" customHeight="1" spans="1:6">
      <c r="A5492" s="9">
        <v>5489</v>
      </c>
      <c r="B5492" s="10" t="s">
        <v>4840</v>
      </c>
      <c r="C5492" s="10" t="s">
        <v>4841</v>
      </c>
      <c r="D5492" s="10" t="s">
        <v>5339</v>
      </c>
      <c r="E5492" s="10" t="str">
        <f>"644020240513222918177357"</f>
        <v>644020240513222918177357</v>
      </c>
      <c r="F5492" s="9"/>
    </row>
    <row r="5493" s="2" customFormat="1" ht="30" customHeight="1" spans="1:6">
      <c r="A5493" s="9">
        <v>5490</v>
      </c>
      <c r="B5493" s="10" t="s">
        <v>4840</v>
      </c>
      <c r="C5493" s="10" t="s">
        <v>4841</v>
      </c>
      <c r="D5493" s="10" t="s">
        <v>5340</v>
      </c>
      <c r="E5493" s="10" t="str">
        <f>"644020240512200312170720"</f>
        <v>644020240512200312170720</v>
      </c>
      <c r="F5493" s="9"/>
    </row>
    <row r="5494" s="2" customFormat="1" ht="30" customHeight="1" spans="1:6">
      <c r="A5494" s="9">
        <v>5491</v>
      </c>
      <c r="B5494" s="10" t="s">
        <v>4840</v>
      </c>
      <c r="C5494" s="10" t="s">
        <v>4841</v>
      </c>
      <c r="D5494" s="10" t="s">
        <v>5341</v>
      </c>
      <c r="E5494" s="10" t="str">
        <f>"644020240513222531177343"</f>
        <v>644020240513222531177343</v>
      </c>
      <c r="F5494" s="9"/>
    </row>
    <row r="5495" s="2" customFormat="1" ht="30" customHeight="1" spans="1:6">
      <c r="A5495" s="9">
        <v>5492</v>
      </c>
      <c r="B5495" s="10" t="s">
        <v>4840</v>
      </c>
      <c r="C5495" s="10" t="s">
        <v>4841</v>
      </c>
      <c r="D5495" s="10" t="s">
        <v>5342</v>
      </c>
      <c r="E5495" s="10" t="str">
        <f>"644020240513221105177280"</f>
        <v>644020240513221105177280</v>
      </c>
      <c r="F5495" s="9"/>
    </row>
    <row r="5496" s="2" customFormat="1" ht="30" customHeight="1" spans="1:6">
      <c r="A5496" s="9">
        <v>5493</v>
      </c>
      <c r="B5496" s="10" t="s">
        <v>4840</v>
      </c>
      <c r="C5496" s="10" t="s">
        <v>4841</v>
      </c>
      <c r="D5496" s="10" t="s">
        <v>5343</v>
      </c>
      <c r="E5496" s="10" t="str">
        <f>"644020240513194245176665"</f>
        <v>644020240513194245176665</v>
      </c>
      <c r="F5496" s="9"/>
    </row>
    <row r="5497" s="2" customFormat="1" ht="30" customHeight="1" spans="1:6">
      <c r="A5497" s="9">
        <v>5494</v>
      </c>
      <c r="B5497" s="10" t="s">
        <v>4840</v>
      </c>
      <c r="C5497" s="10" t="s">
        <v>4841</v>
      </c>
      <c r="D5497" s="10" t="s">
        <v>5344</v>
      </c>
      <c r="E5497" s="10" t="str">
        <f>"644020240512215732171313"</f>
        <v>644020240512215732171313</v>
      </c>
      <c r="F5497" s="9"/>
    </row>
    <row r="5498" s="2" customFormat="1" ht="30" customHeight="1" spans="1:6">
      <c r="A5498" s="9">
        <v>5495</v>
      </c>
      <c r="B5498" s="10" t="s">
        <v>4840</v>
      </c>
      <c r="C5498" s="10" t="s">
        <v>4841</v>
      </c>
      <c r="D5498" s="10" t="s">
        <v>5345</v>
      </c>
      <c r="E5498" s="10" t="str">
        <f>"644020240513224219177414"</f>
        <v>644020240513224219177414</v>
      </c>
      <c r="F5498" s="9"/>
    </row>
    <row r="5499" s="2" customFormat="1" ht="30" customHeight="1" spans="1:6">
      <c r="A5499" s="9">
        <v>5496</v>
      </c>
      <c r="B5499" s="10" t="s">
        <v>4840</v>
      </c>
      <c r="C5499" s="10" t="s">
        <v>4841</v>
      </c>
      <c r="D5499" s="10" t="s">
        <v>5346</v>
      </c>
      <c r="E5499" s="10" t="str">
        <f>"644020240513091510172640"</f>
        <v>644020240513091510172640</v>
      </c>
      <c r="F5499" s="9"/>
    </row>
    <row r="5500" s="2" customFormat="1" ht="30" customHeight="1" spans="1:6">
      <c r="A5500" s="9">
        <v>5497</v>
      </c>
      <c r="B5500" s="10" t="s">
        <v>4840</v>
      </c>
      <c r="C5500" s="10" t="s">
        <v>4841</v>
      </c>
      <c r="D5500" s="10" t="s">
        <v>5347</v>
      </c>
      <c r="E5500" s="10" t="str">
        <f>"644020240513223921177400"</f>
        <v>644020240513223921177400</v>
      </c>
      <c r="F5500" s="9"/>
    </row>
    <row r="5501" s="2" customFormat="1" ht="30" customHeight="1" spans="1:6">
      <c r="A5501" s="9">
        <v>5498</v>
      </c>
      <c r="B5501" s="10" t="s">
        <v>4840</v>
      </c>
      <c r="C5501" s="10" t="s">
        <v>4841</v>
      </c>
      <c r="D5501" s="10" t="s">
        <v>5348</v>
      </c>
      <c r="E5501" s="10" t="str">
        <f>"644020240512235937171922"</f>
        <v>644020240512235937171922</v>
      </c>
      <c r="F5501" s="9"/>
    </row>
    <row r="5502" s="2" customFormat="1" ht="30" customHeight="1" spans="1:6">
      <c r="A5502" s="9">
        <v>5499</v>
      </c>
      <c r="B5502" s="10" t="s">
        <v>4840</v>
      </c>
      <c r="C5502" s="10" t="s">
        <v>4841</v>
      </c>
      <c r="D5502" s="10" t="s">
        <v>5349</v>
      </c>
      <c r="E5502" s="10" t="str">
        <f>"644020240513225327177463"</f>
        <v>644020240513225327177463</v>
      </c>
      <c r="F5502" s="9"/>
    </row>
    <row r="5503" s="2" customFormat="1" ht="30" customHeight="1" spans="1:6">
      <c r="A5503" s="9">
        <v>5500</v>
      </c>
      <c r="B5503" s="10" t="s">
        <v>4840</v>
      </c>
      <c r="C5503" s="10" t="s">
        <v>4841</v>
      </c>
      <c r="D5503" s="10" t="s">
        <v>5350</v>
      </c>
      <c r="E5503" s="10" t="str">
        <f>"644020240512150846169681"</f>
        <v>644020240512150846169681</v>
      </c>
      <c r="F5503" s="9"/>
    </row>
    <row r="5504" s="2" customFormat="1" ht="30" customHeight="1" spans="1:6">
      <c r="A5504" s="9">
        <v>5501</v>
      </c>
      <c r="B5504" s="10" t="s">
        <v>4840</v>
      </c>
      <c r="C5504" s="10" t="s">
        <v>4841</v>
      </c>
      <c r="D5504" s="10" t="s">
        <v>5351</v>
      </c>
      <c r="E5504" s="10" t="str">
        <f>"644020240512194925170667"</f>
        <v>644020240512194925170667</v>
      </c>
      <c r="F5504" s="9"/>
    </row>
    <row r="5505" s="2" customFormat="1" ht="30" customHeight="1" spans="1:6">
      <c r="A5505" s="9">
        <v>5502</v>
      </c>
      <c r="B5505" s="10" t="s">
        <v>4840</v>
      </c>
      <c r="C5505" s="10" t="s">
        <v>4841</v>
      </c>
      <c r="D5505" s="10" t="s">
        <v>5352</v>
      </c>
      <c r="E5505" s="10" t="str">
        <f>"644020240513222633177349"</f>
        <v>644020240513222633177349</v>
      </c>
      <c r="F5505" s="9"/>
    </row>
    <row r="5506" s="2" customFormat="1" ht="30" customHeight="1" spans="1:6">
      <c r="A5506" s="9">
        <v>5503</v>
      </c>
      <c r="B5506" s="10" t="s">
        <v>4840</v>
      </c>
      <c r="C5506" s="10" t="s">
        <v>4841</v>
      </c>
      <c r="D5506" s="10" t="s">
        <v>5353</v>
      </c>
      <c r="E5506" s="10" t="str">
        <f>"644020240513215929177217"</f>
        <v>644020240513215929177217</v>
      </c>
      <c r="F5506" s="9"/>
    </row>
    <row r="5507" s="2" customFormat="1" ht="30" customHeight="1" spans="1:6">
      <c r="A5507" s="9">
        <v>5504</v>
      </c>
      <c r="B5507" s="10" t="s">
        <v>4840</v>
      </c>
      <c r="C5507" s="10" t="s">
        <v>4841</v>
      </c>
      <c r="D5507" s="10" t="s">
        <v>5354</v>
      </c>
      <c r="E5507" s="10" t="str">
        <f>"644020240512213040171156"</f>
        <v>644020240512213040171156</v>
      </c>
      <c r="F5507" s="9"/>
    </row>
    <row r="5508" s="2" customFormat="1" ht="30" customHeight="1" spans="1:6">
      <c r="A5508" s="9">
        <v>5505</v>
      </c>
      <c r="B5508" s="10" t="s">
        <v>4840</v>
      </c>
      <c r="C5508" s="10" t="s">
        <v>4841</v>
      </c>
      <c r="D5508" s="10" t="s">
        <v>5355</v>
      </c>
      <c r="E5508" s="10" t="str">
        <f>"644020240513223402177381"</f>
        <v>644020240513223402177381</v>
      </c>
      <c r="F5508" s="9"/>
    </row>
    <row r="5509" s="2" customFormat="1" ht="30" customHeight="1" spans="1:6">
      <c r="A5509" s="9">
        <v>5506</v>
      </c>
      <c r="B5509" s="10" t="s">
        <v>4840</v>
      </c>
      <c r="C5509" s="10" t="s">
        <v>4841</v>
      </c>
      <c r="D5509" s="10" t="s">
        <v>5356</v>
      </c>
      <c r="E5509" s="10" t="str">
        <f>"644020240512145627169637"</f>
        <v>644020240512145627169637</v>
      </c>
      <c r="F5509" s="9"/>
    </row>
    <row r="5510" s="2" customFormat="1" ht="30" customHeight="1" spans="1:6">
      <c r="A5510" s="9">
        <v>5507</v>
      </c>
      <c r="B5510" s="10" t="s">
        <v>4840</v>
      </c>
      <c r="C5510" s="10" t="s">
        <v>4841</v>
      </c>
      <c r="D5510" s="10" t="s">
        <v>5357</v>
      </c>
      <c r="E5510" s="10" t="str">
        <f>"644020240513110437173731"</f>
        <v>644020240513110437173731</v>
      </c>
      <c r="F5510" s="9"/>
    </row>
    <row r="5511" s="2" customFormat="1" ht="30" customHeight="1" spans="1:6">
      <c r="A5511" s="9">
        <v>5508</v>
      </c>
      <c r="B5511" s="10" t="s">
        <v>4840</v>
      </c>
      <c r="C5511" s="10" t="s">
        <v>4841</v>
      </c>
      <c r="D5511" s="10" t="s">
        <v>5358</v>
      </c>
      <c r="E5511" s="10" t="str">
        <f>"644020240513203820176873"</f>
        <v>644020240513203820176873</v>
      </c>
      <c r="F5511" s="9"/>
    </row>
    <row r="5512" s="2" customFormat="1" ht="30" customHeight="1" spans="1:6">
      <c r="A5512" s="9">
        <v>5509</v>
      </c>
      <c r="B5512" s="10" t="s">
        <v>4840</v>
      </c>
      <c r="C5512" s="10" t="s">
        <v>4841</v>
      </c>
      <c r="D5512" s="10" t="s">
        <v>5359</v>
      </c>
      <c r="E5512" s="10" t="str">
        <f>"644020240513224127177411"</f>
        <v>644020240513224127177411</v>
      </c>
      <c r="F5512" s="9"/>
    </row>
    <row r="5513" s="2" customFormat="1" ht="30" customHeight="1" spans="1:6">
      <c r="A5513" s="9">
        <v>5510</v>
      </c>
      <c r="B5513" s="10" t="s">
        <v>4840</v>
      </c>
      <c r="C5513" s="10" t="s">
        <v>4841</v>
      </c>
      <c r="D5513" s="10" t="s">
        <v>5360</v>
      </c>
      <c r="E5513" s="10" t="str">
        <f>"644020240513232110177557"</f>
        <v>644020240513232110177557</v>
      </c>
      <c r="F5513" s="9"/>
    </row>
    <row r="5514" s="2" customFormat="1" ht="30" customHeight="1" spans="1:6">
      <c r="A5514" s="9">
        <v>5511</v>
      </c>
      <c r="B5514" s="10" t="s">
        <v>4840</v>
      </c>
      <c r="C5514" s="10" t="s">
        <v>4841</v>
      </c>
      <c r="D5514" s="10" t="s">
        <v>5361</v>
      </c>
      <c r="E5514" s="10" t="str">
        <f>"644020240513230620177519"</f>
        <v>644020240513230620177519</v>
      </c>
      <c r="F5514" s="9"/>
    </row>
    <row r="5515" s="2" customFormat="1" ht="30" customHeight="1" spans="1:6">
      <c r="A5515" s="9">
        <v>5512</v>
      </c>
      <c r="B5515" s="10" t="s">
        <v>4840</v>
      </c>
      <c r="C5515" s="10" t="s">
        <v>4841</v>
      </c>
      <c r="D5515" s="10" t="s">
        <v>5362</v>
      </c>
      <c r="E5515" s="10" t="str">
        <f>"644020240513145126175121"</f>
        <v>644020240513145126175121</v>
      </c>
      <c r="F5515" s="9"/>
    </row>
    <row r="5516" s="2" customFormat="1" ht="30" customHeight="1" spans="1:6">
      <c r="A5516" s="9">
        <v>5513</v>
      </c>
      <c r="B5516" s="10" t="s">
        <v>4840</v>
      </c>
      <c r="C5516" s="10" t="s">
        <v>4841</v>
      </c>
      <c r="D5516" s="10" t="s">
        <v>5363</v>
      </c>
      <c r="E5516" s="10" t="str">
        <f>"644020240513232805177575"</f>
        <v>644020240513232805177575</v>
      </c>
      <c r="F5516" s="9"/>
    </row>
    <row r="5517" s="2" customFormat="1" ht="30" customHeight="1" spans="1:6">
      <c r="A5517" s="9">
        <v>5514</v>
      </c>
      <c r="B5517" s="10" t="s">
        <v>4840</v>
      </c>
      <c r="C5517" s="10" t="s">
        <v>4841</v>
      </c>
      <c r="D5517" s="10" t="s">
        <v>5364</v>
      </c>
      <c r="E5517" s="10" t="str">
        <f>"644020240513232735177573"</f>
        <v>644020240513232735177573</v>
      </c>
      <c r="F5517" s="9"/>
    </row>
    <row r="5518" s="2" customFormat="1" ht="30" customHeight="1" spans="1:6">
      <c r="A5518" s="9">
        <v>5515</v>
      </c>
      <c r="B5518" s="10" t="s">
        <v>4840</v>
      </c>
      <c r="C5518" s="10" t="s">
        <v>4841</v>
      </c>
      <c r="D5518" s="10" t="s">
        <v>5365</v>
      </c>
      <c r="E5518" s="10" t="str">
        <f>"644020240513223711177393"</f>
        <v>644020240513223711177393</v>
      </c>
      <c r="F5518" s="9"/>
    </row>
    <row r="5519" s="2" customFormat="1" ht="30" customHeight="1" spans="1:6">
      <c r="A5519" s="9">
        <v>5516</v>
      </c>
      <c r="B5519" s="10" t="s">
        <v>4840</v>
      </c>
      <c r="C5519" s="10" t="s">
        <v>4841</v>
      </c>
      <c r="D5519" s="10" t="s">
        <v>5366</v>
      </c>
      <c r="E5519" s="10" t="str">
        <f>"644020240513234954177621"</f>
        <v>644020240513234954177621</v>
      </c>
      <c r="F5519" s="9"/>
    </row>
    <row r="5520" s="2" customFormat="1" ht="30" customHeight="1" spans="1:6">
      <c r="A5520" s="9">
        <v>5517</v>
      </c>
      <c r="B5520" s="10" t="s">
        <v>4840</v>
      </c>
      <c r="C5520" s="10" t="s">
        <v>4841</v>
      </c>
      <c r="D5520" s="10" t="s">
        <v>5367</v>
      </c>
      <c r="E5520" s="10" t="str">
        <f>"644020240513172241176201"</f>
        <v>644020240513172241176201</v>
      </c>
      <c r="F5520" s="9"/>
    </row>
    <row r="5521" s="2" customFormat="1" ht="30" customHeight="1" spans="1:6">
      <c r="A5521" s="9">
        <v>5518</v>
      </c>
      <c r="B5521" s="10" t="s">
        <v>4840</v>
      </c>
      <c r="C5521" s="10" t="s">
        <v>4841</v>
      </c>
      <c r="D5521" s="10" t="s">
        <v>5368</v>
      </c>
      <c r="E5521" s="10" t="str">
        <f>"644020240513233944177599"</f>
        <v>644020240513233944177599</v>
      </c>
      <c r="F5521" s="9"/>
    </row>
    <row r="5522" s="2" customFormat="1" ht="30" customHeight="1" spans="1:6">
      <c r="A5522" s="9">
        <v>5519</v>
      </c>
      <c r="B5522" s="10" t="s">
        <v>4840</v>
      </c>
      <c r="C5522" s="10" t="s">
        <v>4841</v>
      </c>
      <c r="D5522" s="10" t="s">
        <v>5369</v>
      </c>
      <c r="E5522" s="10" t="str">
        <f>"644020240513220000177223"</f>
        <v>644020240513220000177223</v>
      </c>
      <c r="F5522" s="9"/>
    </row>
    <row r="5523" s="2" customFormat="1" ht="30" customHeight="1" spans="1:6">
      <c r="A5523" s="9">
        <v>5520</v>
      </c>
      <c r="B5523" s="10" t="s">
        <v>4840</v>
      </c>
      <c r="C5523" s="10" t="s">
        <v>4841</v>
      </c>
      <c r="D5523" s="10" t="s">
        <v>5370</v>
      </c>
      <c r="E5523" s="10" t="str">
        <f>"644020240514004409177694"</f>
        <v>644020240514004409177694</v>
      </c>
      <c r="F5523" s="9"/>
    </row>
    <row r="5524" s="2" customFormat="1" ht="30" customHeight="1" spans="1:6">
      <c r="A5524" s="9">
        <v>5521</v>
      </c>
      <c r="B5524" s="10" t="s">
        <v>4840</v>
      </c>
      <c r="C5524" s="10" t="s">
        <v>4841</v>
      </c>
      <c r="D5524" s="10" t="s">
        <v>5371</v>
      </c>
      <c r="E5524" s="10" t="str">
        <f>"644020240513005140172014"</f>
        <v>644020240513005140172014</v>
      </c>
      <c r="F5524" s="9"/>
    </row>
    <row r="5525" s="2" customFormat="1" ht="30" customHeight="1" spans="1:6">
      <c r="A5525" s="9">
        <v>5522</v>
      </c>
      <c r="B5525" s="10" t="s">
        <v>4840</v>
      </c>
      <c r="C5525" s="10" t="s">
        <v>4841</v>
      </c>
      <c r="D5525" s="10" t="s">
        <v>5372</v>
      </c>
      <c r="E5525" s="10" t="str">
        <f>"644020240513124514174397"</f>
        <v>644020240513124514174397</v>
      </c>
      <c r="F5525" s="9"/>
    </row>
    <row r="5526" s="2" customFormat="1" ht="30" customHeight="1" spans="1:6">
      <c r="A5526" s="9">
        <v>5523</v>
      </c>
      <c r="B5526" s="10" t="s">
        <v>4840</v>
      </c>
      <c r="C5526" s="10" t="s">
        <v>4841</v>
      </c>
      <c r="D5526" s="10" t="s">
        <v>5373</v>
      </c>
      <c r="E5526" s="10" t="str">
        <f>"644020240513101141173226"</f>
        <v>644020240513101141173226</v>
      </c>
      <c r="F5526" s="9"/>
    </row>
    <row r="5527" s="2" customFormat="1" ht="30" customHeight="1" spans="1:6">
      <c r="A5527" s="9">
        <v>5524</v>
      </c>
      <c r="B5527" s="10" t="s">
        <v>4840</v>
      </c>
      <c r="C5527" s="10" t="s">
        <v>4841</v>
      </c>
      <c r="D5527" s="10" t="s">
        <v>5374</v>
      </c>
      <c r="E5527" s="10" t="str">
        <f>"644020240514023154177754"</f>
        <v>644020240514023154177754</v>
      </c>
      <c r="F5527" s="9"/>
    </row>
    <row r="5528" s="2" customFormat="1" ht="30" customHeight="1" spans="1:6">
      <c r="A5528" s="9">
        <v>5525</v>
      </c>
      <c r="B5528" s="10" t="s">
        <v>4840</v>
      </c>
      <c r="C5528" s="10" t="s">
        <v>4841</v>
      </c>
      <c r="D5528" s="10" t="s">
        <v>5375</v>
      </c>
      <c r="E5528" s="10" t="str">
        <f>"644020240514072002177781"</f>
        <v>644020240514072002177781</v>
      </c>
      <c r="F5528" s="9"/>
    </row>
    <row r="5529" s="2" customFormat="1" ht="30" customHeight="1" spans="1:6">
      <c r="A5529" s="9">
        <v>5526</v>
      </c>
      <c r="B5529" s="10" t="s">
        <v>4840</v>
      </c>
      <c r="C5529" s="10" t="s">
        <v>4841</v>
      </c>
      <c r="D5529" s="10" t="s">
        <v>5376</v>
      </c>
      <c r="E5529" s="10" t="str">
        <f>"644020240512130514169256"</f>
        <v>644020240512130514169256</v>
      </c>
      <c r="F5529" s="9"/>
    </row>
    <row r="5530" s="2" customFormat="1" ht="30" customHeight="1" spans="1:6">
      <c r="A5530" s="9">
        <v>5527</v>
      </c>
      <c r="B5530" s="10" t="s">
        <v>4840</v>
      </c>
      <c r="C5530" s="10" t="s">
        <v>4841</v>
      </c>
      <c r="D5530" s="10" t="s">
        <v>5377</v>
      </c>
      <c r="E5530" s="10" t="str">
        <f>"644020240513163825175984"</f>
        <v>644020240513163825175984</v>
      </c>
      <c r="F5530" s="9"/>
    </row>
    <row r="5531" s="2" customFormat="1" ht="30" customHeight="1" spans="1:6">
      <c r="A5531" s="9">
        <v>5528</v>
      </c>
      <c r="B5531" s="10" t="s">
        <v>4840</v>
      </c>
      <c r="C5531" s="10" t="s">
        <v>4841</v>
      </c>
      <c r="D5531" s="10" t="s">
        <v>5378</v>
      </c>
      <c r="E5531" s="10" t="str">
        <f>"644020240513215412177191"</f>
        <v>644020240513215412177191</v>
      </c>
      <c r="F5531" s="9"/>
    </row>
    <row r="5532" s="2" customFormat="1" ht="30" customHeight="1" spans="1:6">
      <c r="A5532" s="9">
        <v>5529</v>
      </c>
      <c r="B5532" s="10" t="s">
        <v>4840</v>
      </c>
      <c r="C5532" s="10" t="s">
        <v>4841</v>
      </c>
      <c r="D5532" s="10" t="s">
        <v>5379</v>
      </c>
      <c r="E5532" s="10" t="str">
        <f>"644020240513103652173480"</f>
        <v>644020240513103652173480</v>
      </c>
      <c r="F5532" s="9"/>
    </row>
    <row r="5533" s="2" customFormat="1" ht="30" customHeight="1" spans="1:6">
      <c r="A5533" s="9">
        <v>5530</v>
      </c>
      <c r="B5533" s="10" t="s">
        <v>4840</v>
      </c>
      <c r="C5533" s="10" t="s">
        <v>4841</v>
      </c>
      <c r="D5533" s="10" t="s">
        <v>5380</v>
      </c>
      <c r="E5533" s="10" t="str">
        <f>"644020240514085910177952"</f>
        <v>644020240514085910177952</v>
      </c>
      <c r="F5533" s="9"/>
    </row>
    <row r="5534" s="2" customFormat="1" ht="30" customHeight="1" spans="1:6">
      <c r="A5534" s="9">
        <v>5531</v>
      </c>
      <c r="B5534" s="10" t="s">
        <v>4840</v>
      </c>
      <c r="C5534" s="10" t="s">
        <v>4841</v>
      </c>
      <c r="D5534" s="10" t="s">
        <v>5381</v>
      </c>
      <c r="E5534" s="10" t="str">
        <f>"644020240514085709177939"</f>
        <v>644020240514085709177939</v>
      </c>
      <c r="F5534" s="9"/>
    </row>
    <row r="5535" s="2" customFormat="1" ht="30" customHeight="1" spans="1:6">
      <c r="A5535" s="9">
        <v>5532</v>
      </c>
      <c r="B5535" s="10" t="s">
        <v>4840</v>
      </c>
      <c r="C5535" s="10" t="s">
        <v>4841</v>
      </c>
      <c r="D5535" s="10" t="s">
        <v>5382</v>
      </c>
      <c r="E5535" s="10" t="str">
        <f>"644020240513092315172743"</f>
        <v>644020240513092315172743</v>
      </c>
      <c r="F5535" s="9"/>
    </row>
    <row r="5536" s="2" customFormat="1" ht="30" customHeight="1" spans="1:6">
      <c r="A5536" s="9">
        <v>5533</v>
      </c>
      <c r="B5536" s="10" t="s">
        <v>4840</v>
      </c>
      <c r="C5536" s="10" t="s">
        <v>4841</v>
      </c>
      <c r="D5536" s="10" t="s">
        <v>5383</v>
      </c>
      <c r="E5536" s="10" t="str">
        <f>"644020240513102731173389"</f>
        <v>644020240513102731173389</v>
      </c>
      <c r="F5536" s="9"/>
    </row>
    <row r="5537" s="2" customFormat="1" ht="30" customHeight="1" spans="1:6">
      <c r="A5537" s="9">
        <v>5534</v>
      </c>
      <c r="B5537" s="10" t="s">
        <v>4840</v>
      </c>
      <c r="C5537" s="10" t="s">
        <v>4841</v>
      </c>
      <c r="D5537" s="10" t="s">
        <v>5384</v>
      </c>
      <c r="E5537" s="10" t="str">
        <f>"644020240514092735178098"</f>
        <v>644020240514092735178098</v>
      </c>
      <c r="F5537" s="9"/>
    </row>
    <row r="5538" s="2" customFormat="1" ht="30" customHeight="1" spans="1:6">
      <c r="A5538" s="9">
        <v>5535</v>
      </c>
      <c r="B5538" s="10" t="s">
        <v>4840</v>
      </c>
      <c r="C5538" s="10" t="s">
        <v>4841</v>
      </c>
      <c r="D5538" s="10" t="s">
        <v>5385</v>
      </c>
      <c r="E5538" s="10" t="str">
        <f>"644020240514085500177935"</f>
        <v>644020240514085500177935</v>
      </c>
      <c r="F5538" s="9"/>
    </row>
    <row r="5539" s="2" customFormat="1" ht="30" customHeight="1" spans="1:6">
      <c r="A5539" s="9">
        <v>5536</v>
      </c>
      <c r="B5539" s="10" t="s">
        <v>4840</v>
      </c>
      <c r="C5539" s="10" t="s">
        <v>4841</v>
      </c>
      <c r="D5539" s="10" t="s">
        <v>5386</v>
      </c>
      <c r="E5539" s="10" t="str">
        <f>"644020240513152459175421"</f>
        <v>644020240513152459175421</v>
      </c>
      <c r="F5539" s="9"/>
    </row>
    <row r="5540" s="2" customFormat="1" ht="30" customHeight="1" spans="1:6">
      <c r="A5540" s="9">
        <v>5537</v>
      </c>
      <c r="B5540" s="10" t="s">
        <v>4840</v>
      </c>
      <c r="C5540" s="10" t="s">
        <v>4841</v>
      </c>
      <c r="D5540" s="10" t="s">
        <v>5387</v>
      </c>
      <c r="E5540" s="10" t="str">
        <f>"644020240513163651175977"</f>
        <v>644020240513163651175977</v>
      </c>
      <c r="F5540" s="9"/>
    </row>
    <row r="5541" s="2" customFormat="1" ht="30" customHeight="1" spans="1:6">
      <c r="A5541" s="9">
        <v>5538</v>
      </c>
      <c r="B5541" s="10" t="s">
        <v>4840</v>
      </c>
      <c r="C5541" s="10" t="s">
        <v>4841</v>
      </c>
      <c r="D5541" s="10" t="s">
        <v>5388</v>
      </c>
      <c r="E5541" s="10" t="str">
        <f>"644020240514091413178038"</f>
        <v>644020240514091413178038</v>
      </c>
      <c r="F5541" s="9"/>
    </row>
    <row r="5542" s="2" customFormat="1" ht="30" customHeight="1" spans="1:6">
      <c r="A5542" s="9">
        <v>5539</v>
      </c>
      <c r="B5542" s="10" t="s">
        <v>4840</v>
      </c>
      <c r="C5542" s="10" t="s">
        <v>4841</v>
      </c>
      <c r="D5542" s="10" t="s">
        <v>5389</v>
      </c>
      <c r="E5542" s="10" t="str">
        <f>"644020240514084844177915"</f>
        <v>644020240514084844177915</v>
      </c>
      <c r="F5542" s="9"/>
    </row>
    <row r="5543" s="2" customFormat="1" ht="30" customHeight="1" spans="1:6">
      <c r="A5543" s="9">
        <v>5540</v>
      </c>
      <c r="B5543" s="10" t="s">
        <v>4840</v>
      </c>
      <c r="C5543" s="10" t="s">
        <v>4841</v>
      </c>
      <c r="D5543" s="10" t="s">
        <v>5390</v>
      </c>
      <c r="E5543" s="10" t="str">
        <f>"644020240514093029178113"</f>
        <v>644020240514093029178113</v>
      </c>
      <c r="F5543" s="9"/>
    </row>
    <row r="5544" s="2" customFormat="1" ht="30" customHeight="1" spans="1:6">
      <c r="A5544" s="9">
        <v>5541</v>
      </c>
      <c r="B5544" s="10" t="s">
        <v>4840</v>
      </c>
      <c r="C5544" s="10" t="s">
        <v>4841</v>
      </c>
      <c r="D5544" s="10" t="s">
        <v>5391</v>
      </c>
      <c r="E5544" s="10" t="str">
        <f>"644020240514093727178146"</f>
        <v>644020240514093727178146</v>
      </c>
      <c r="F5544" s="9"/>
    </row>
    <row r="5545" s="2" customFormat="1" ht="30" customHeight="1" spans="1:6">
      <c r="A5545" s="9">
        <v>5542</v>
      </c>
      <c r="B5545" s="10" t="s">
        <v>4840</v>
      </c>
      <c r="C5545" s="10" t="s">
        <v>4841</v>
      </c>
      <c r="D5545" s="10" t="s">
        <v>5392</v>
      </c>
      <c r="E5545" s="10" t="str">
        <f>"644020240514085855177950"</f>
        <v>644020240514085855177950</v>
      </c>
      <c r="F5545" s="9"/>
    </row>
    <row r="5546" s="2" customFormat="1" ht="30" customHeight="1" spans="1:6">
      <c r="A5546" s="9">
        <v>5543</v>
      </c>
      <c r="B5546" s="10" t="s">
        <v>4840</v>
      </c>
      <c r="C5546" s="10" t="s">
        <v>4841</v>
      </c>
      <c r="D5546" s="10" t="s">
        <v>5393</v>
      </c>
      <c r="E5546" s="10" t="str">
        <f>"644020240514093830178150"</f>
        <v>644020240514093830178150</v>
      </c>
      <c r="F5546" s="9"/>
    </row>
    <row r="5547" s="2" customFormat="1" ht="30" customHeight="1" spans="1:6">
      <c r="A5547" s="9">
        <v>5544</v>
      </c>
      <c r="B5547" s="10" t="s">
        <v>4840</v>
      </c>
      <c r="C5547" s="10" t="s">
        <v>4841</v>
      </c>
      <c r="D5547" s="10" t="s">
        <v>3342</v>
      </c>
      <c r="E5547" s="10" t="str">
        <f>"644020240514095031178222"</f>
        <v>644020240514095031178222</v>
      </c>
      <c r="F5547" s="9"/>
    </row>
    <row r="5548" s="2" customFormat="1" ht="30" customHeight="1" spans="1:6">
      <c r="A5548" s="9">
        <v>5545</v>
      </c>
      <c r="B5548" s="10" t="s">
        <v>4840</v>
      </c>
      <c r="C5548" s="10" t="s">
        <v>4841</v>
      </c>
      <c r="D5548" s="10" t="s">
        <v>5394</v>
      </c>
      <c r="E5548" s="10" t="str">
        <f>"644020240514092101178070"</f>
        <v>644020240514092101178070</v>
      </c>
      <c r="F5548" s="9"/>
    </row>
    <row r="5549" s="2" customFormat="1" ht="30" customHeight="1" spans="1:6">
      <c r="A5549" s="9">
        <v>5546</v>
      </c>
      <c r="B5549" s="10" t="s">
        <v>4840</v>
      </c>
      <c r="C5549" s="10" t="s">
        <v>4841</v>
      </c>
      <c r="D5549" s="10" t="s">
        <v>5395</v>
      </c>
      <c r="E5549" s="10" t="str">
        <f>"644020240513170911176139"</f>
        <v>644020240513170911176139</v>
      </c>
      <c r="F5549" s="9"/>
    </row>
    <row r="5550" s="2" customFormat="1" ht="30" customHeight="1" spans="1:6">
      <c r="A5550" s="9">
        <v>5547</v>
      </c>
      <c r="B5550" s="10" t="s">
        <v>4840</v>
      </c>
      <c r="C5550" s="10" t="s">
        <v>4841</v>
      </c>
      <c r="D5550" s="10" t="s">
        <v>5396</v>
      </c>
      <c r="E5550" s="10" t="str">
        <f>"644020240512120040169010"</f>
        <v>644020240512120040169010</v>
      </c>
      <c r="F5550" s="9"/>
    </row>
    <row r="5551" s="2" customFormat="1" ht="30" customHeight="1" spans="1:6">
      <c r="A5551" s="9">
        <v>5548</v>
      </c>
      <c r="B5551" s="10" t="s">
        <v>4840</v>
      </c>
      <c r="C5551" s="10" t="s">
        <v>4841</v>
      </c>
      <c r="D5551" s="10" t="s">
        <v>5397</v>
      </c>
      <c r="E5551" s="10" t="str">
        <f>"644020240513150358175214"</f>
        <v>644020240513150358175214</v>
      </c>
      <c r="F5551" s="9"/>
    </row>
    <row r="5552" s="2" customFormat="1" ht="30" customHeight="1" spans="1:6">
      <c r="A5552" s="9">
        <v>5549</v>
      </c>
      <c r="B5552" s="10" t="s">
        <v>4840</v>
      </c>
      <c r="C5552" s="10" t="s">
        <v>4841</v>
      </c>
      <c r="D5552" s="10" t="s">
        <v>5398</v>
      </c>
      <c r="E5552" s="10" t="str">
        <f>"644020240514101644178352"</f>
        <v>644020240514101644178352</v>
      </c>
      <c r="F5552" s="9"/>
    </row>
    <row r="5553" s="2" customFormat="1" ht="30" customHeight="1" spans="1:6">
      <c r="A5553" s="9">
        <v>5550</v>
      </c>
      <c r="B5553" s="10" t="s">
        <v>4840</v>
      </c>
      <c r="C5553" s="10" t="s">
        <v>4841</v>
      </c>
      <c r="D5553" s="10" t="s">
        <v>5399</v>
      </c>
      <c r="E5553" s="10" t="str">
        <f>"644020240513210432176975"</f>
        <v>644020240513210432176975</v>
      </c>
      <c r="F5553" s="9"/>
    </row>
    <row r="5554" s="2" customFormat="1" ht="30" customHeight="1" spans="1:6">
      <c r="A5554" s="9">
        <v>5551</v>
      </c>
      <c r="B5554" s="10" t="s">
        <v>4840</v>
      </c>
      <c r="C5554" s="10" t="s">
        <v>4841</v>
      </c>
      <c r="D5554" s="10" t="s">
        <v>5400</v>
      </c>
      <c r="E5554" s="10" t="str">
        <f>"644020240514095651178251"</f>
        <v>644020240514095651178251</v>
      </c>
      <c r="F5554" s="9"/>
    </row>
    <row r="5555" s="2" customFormat="1" ht="30" customHeight="1" spans="1:6">
      <c r="A5555" s="9">
        <v>5552</v>
      </c>
      <c r="B5555" s="10" t="s">
        <v>4840</v>
      </c>
      <c r="C5555" s="10" t="s">
        <v>4841</v>
      </c>
      <c r="D5555" s="10" t="s">
        <v>5401</v>
      </c>
      <c r="E5555" s="10" t="str">
        <f>"644020240514093819178148"</f>
        <v>644020240514093819178148</v>
      </c>
      <c r="F5555" s="9"/>
    </row>
    <row r="5556" s="2" customFormat="1" ht="30" customHeight="1" spans="1:6">
      <c r="A5556" s="9">
        <v>5553</v>
      </c>
      <c r="B5556" s="10" t="s">
        <v>4840</v>
      </c>
      <c r="C5556" s="10" t="s">
        <v>4841</v>
      </c>
      <c r="D5556" s="10" t="s">
        <v>2907</v>
      </c>
      <c r="E5556" s="10" t="str">
        <f>"644020240514095815178257"</f>
        <v>644020240514095815178257</v>
      </c>
      <c r="F5556" s="9"/>
    </row>
    <row r="5557" s="2" customFormat="1" ht="30" customHeight="1" spans="1:6">
      <c r="A5557" s="9">
        <v>5554</v>
      </c>
      <c r="B5557" s="10" t="s">
        <v>4840</v>
      </c>
      <c r="C5557" s="10" t="s">
        <v>4841</v>
      </c>
      <c r="D5557" s="10" t="s">
        <v>5402</v>
      </c>
      <c r="E5557" s="10" t="str">
        <f>"644020240513183705176442"</f>
        <v>644020240513183705176442</v>
      </c>
      <c r="F5557" s="9"/>
    </row>
    <row r="5558" s="2" customFormat="1" ht="30" customHeight="1" spans="1:6">
      <c r="A5558" s="9">
        <v>5555</v>
      </c>
      <c r="B5558" s="10" t="s">
        <v>4840</v>
      </c>
      <c r="C5558" s="10" t="s">
        <v>4841</v>
      </c>
      <c r="D5558" s="10" t="s">
        <v>5403</v>
      </c>
      <c r="E5558" s="10" t="str">
        <f>"644020240514102502178404"</f>
        <v>644020240514102502178404</v>
      </c>
      <c r="F5558" s="9"/>
    </row>
    <row r="5559" s="2" customFormat="1" ht="30" customHeight="1" spans="1:6">
      <c r="A5559" s="9">
        <v>5556</v>
      </c>
      <c r="B5559" s="10" t="s">
        <v>4840</v>
      </c>
      <c r="C5559" s="10" t="s">
        <v>4841</v>
      </c>
      <c r="D5559" s="10" t="s">
        <v>5404</v>
      </c>
      <c r="E5559" s="10" t="str">
        <f>"644020240514100512178293"</f>
        <v>644020240514100512178293</v>
      </c>
      <c r="F5559" s="9"/>
    </row>
    <row r="5560" s="2" customFormat="1" ht="30" customHeight="1" spans="1:6">
      <c r="A5560" s="9">
        <v>5557</v>
      </c>
      <c r="B5560" s="10" t="s">
        <v>4840</v>
      </c>
      <c r="C5560" s="10" t="s">
        <v>4841</v>
      </c>
      <c r="D5560" s="10" t="s">
        <v>5405</v>
      </c>
      <c r="E5560" s="10" t="str">
        <f>"644020240514100256178283"</f>
        <v>644020240514100256178283</v>
      </c>
      <c r="F5560" s="9"/>
    </row>
    <row r="5561" s="2" customFormat="1" ht="30" customHeight="1" spans="1:6">
      <c r="A5561" s="9">
        <v>5558</v>
      </c>
      <c r="B5561" s="10" t="s">
        <v>4840</v>
      </c>
      <c r="C5561" s="10" t="s">
        <v>4841</v>
      </c>
      <c r="D5561" s="10" t="s">
        <v>5406</v>
      </c>
      <c r="E5561" s="10" t="str">
        <f>"644020240513213218177102"</f>
        <v>644020240513213218177102</v>
      </c>
      <c r="F5561" s="9"/>
    </row>
    <row r="5562" s="2" customFormat="1" ht="30" customHeight="1" spans="1:6">
      <c r="A5562" s="9">
        <v>5559</v>
      </c>
      <c r="B5562" s="10" t="s">
        <v>4840</v>
      </c>
      <c r="C5562" s="10" t="s">
        <v>4841</v>
      </c>
      <c r="D5562" s="10" t="s">
        <v>5407</v>
      </c>
      <c r="E5562" s="10" t="str">
        <f>"644020240513094931173011"</f>
        <v>644020240513094931173011</v>
      </c>
      <c r="F5562" s="9"/>
    </row>
    <row r="5563" s="2" customFormat="1" ht="30" customHeight="1" spans="1:6">
      <c r="A5563" s="9">
        <v>5560</v>
      </c>
      <c r="B5563" s="10" t="s">
        <v>4840</v>
      </c>
      <c r="C5563" s="10" t="s">
        <v>4841</v>
      </c>
      <c r="D5563" s="10" t="s">
        <v>5408</v>
      </c>
      <c r="E5563" s="10" t="str">
        <f>"644020240514102802178424"</f>
        <v>644020240514102802178424</v>
      </c>
      <c r="F5563" s="9"/>
    </row>
    <row r="5564" s="2" customFormat="1" ht="30" customHeight="1" spans="1:6">
      <c r="A5564" s="9">
        <v>5561</v>
      </c>
      <c r="B5564" s="10" t="s">
        <v>4840</v>
      </c>
      <c r="C5564" s="10" t="s">
        <v>4841</v>
      </c>
      <c r="D5564" s="10" t="s">
        <v>5409</v>
      </c>
      <c r="E5564" s="10" t="str">
        <f>"644020240513124323174384"</f>
        <v>644020240513124323174384</v>
      </c>
      <c r="F5564" s="9"/>
    </row>
    <row r="5565" s="2" customFormat="1" ht="30" customHeight="1" spans="1:6">
      <c r="A5565" s="9">
        <v>5562</v>
      </c>
      <c r="B5565" s="10" t="s">
        <v>4840</v>
      </c>
      <c r="C5565" s="10" t="s">
        <v>4841</v>
      </c>
      <c r="D5565" s="10" t="s">
        <v>5410</v>
      </c>
      <c r="E5565" s="10" t="str">
        <f>"644020240514101624178350"</f>
        <v>644020240514101624178350</v>
      </c>
      <c r="F5565" s="9"/>
    </row>
    <row r="5566" s="2" customFormat="1" ht="30" customHeight="1" spans="1:6">
      <c r="A5566" s="9">
        <v>5563</v>
      </c>
      <c r="B5566" s="10" t="s">
        <v>4840</v>
      </c>
      <c r="C5566" s="10" t="s">
        <v>4841</v>
      </c>
      <c r="D5566" s="10" t="s">
        <v>5411</v>
      </c>
      <c r="E5566" s="10" t="str">
        <f>"644020240514104432178523"</f>
        <v>644020240514104432178523</v>
      </c>
      <c r="F5566" s="9"/>
    </row>
    <row r="5567" s="2" customFormat="1" ht="30" customHeight="1" spans="1:6">
      <c r="A5567" s="9">
        <v>5564</v>
      </c>
      <c r="B5567" s="10" t="s">
        <v>4840</v>
      </c>
      <c r="C5567" s="10" t="s">
        <v>4841</v>
      </c>
      <c r="D5567" s="10" t="s">
        <v>5412</v>
      </c>
      <c r="E5567" s="10" t="str">
        <f>"644020240514105816178593"</f>
        <v>644020240514105816178593</v>
      </c>
      <c r="F5567" s="9"/>
    </row>
    <row r="5568" s="2" customFormat="1" ht="30" customHeight="1" spans="1:6">
      <c r="A5568" s="9">
        <v>5565</v>
      </c>
      <c r="B5568" s="10" t="s">
        <v>4840</v>
      </c>
      <c r="C5568" s="10" t="s">
        <v>4841</v>
      </c>
      <c r="D5568" s="10" t="s">
        <v>5413</v>
      </c>
      <c r="E5568" s="10" t="str">
        <f>"644020240514105646178587"</f>
        <v>644020240514105646178587</v>
      </c>
      <c r="F5568" s="9"/>
    </row>
    <row r="5569" s="2" customFormat="1" ht="30" customHeight="1" spans="1:6">
      <c r="A5569" s="9">
        <v>5566</v>
      </c>
      <c r="B5569" s="10" t="s">
        <v>4840</v>
      </c>
      <c r="C5569" s="10" t="s">
        <v>4841</v>
      </c>
      <c r="D5569" s="10" t="s">
        <v>5414</v>
      </c>
      <c r="E5569" s="10" t="str">
        <f>"644020240514083551177870"</f>
        <v>644020240514083551177870</v>
      </c>
      <c r="F5569" s="9"/>
    </row>
    <row r="5570" s="2" customFormat="1" ht="30" customHeight="1" spans="1:6">
      <c r="A5570" s="9">
        <v>5567</v>
      </c>
      <c r="B5570" s="10" t="s">
        <v>4840</v>
      </c>
      <c r="C5570" s="10" t="s">
        <v>4841</v>
      </c>
      <c r="D5570" s="10" t="s">
        <v>5415</v>
      </c>
      <c r="E5570" s="10" t="str">
        <f>"644020240514104601178532"</f>
        <v>644020240514104601178532</v>
      </c>
      <c r="F5570" s="9"/>
    </row>
    <row r="5571" s="2" customFormat="1" ht="30" customHeight="1" spans="1:6">
      <c r="A5571" s="9">
        <v>5568</v>
      </c>
      <c r="B5571" s="10" t="s">
        <v>4840</v>
      </c>
      <c r="C5571" s="10" t="s">
        <v>4841</v>
      </c>
      <c r="D5571" s="10" t="s">
        <v>5416</v>
      </c>
      <c r="E5571" s="10" t="str">
        <f>"644020240514104914178552"</f>
        <v>644020240514104914178552</v>
      </c>
      <c r="F5571" s="9"/>
    </row>
    <row r="5572" s="2" customFormat="1" ht="30" customHeight="1" spans="1:6">
      <c r="A5572" s="9">
        <v>5569</v>
      </c>
      <c r="B5572" s="10" t="s">
        <v>4840</v>
      </c>
      <c r="C5572" s="10" t="s">
        <v>4841</v>
      </c>
      <c r="D5572" s="10" t="s">
        <v>5417</v>
      </c>
      <c r="E5572" s="10" t="str">
        <f>"644020240514103914178487"</f>
        <v>644020240514103914178487</v>
      </c>
      <c r="F5572" s="9"/>
    </row>
    <row r="5573" s="2" customFormat="1" ht="30" customHeight="1" spans="1:6">
      <c r="A5573" s="9">
        <v>5570</v>
      </c>
      <c r="B5573" s="10" t="s">
        <v>4840</v>
      </c>
      <c r="C5573" s="10" t="s">
        <v>4841</v>
      </c>
      <c r="D5573" s="10" t="s">
        <v>5418</v>
      </c>
      <c r="E5573" s="10" t="str">
        <f>"644020240512110504168747"</f>
        <v>644020240512110504168747</v>
      </c>
      <c r="F5573" s="9"/>
    </row>
    <row r="5574" s="2" customFormat="1" ht="30" customHeight="1" spans="1:6">
      <c r="A5574" s="9">
        <v>5571</v>
      </c>
      <c r="B5574" s="10" t="s">
        <v>4840</v>
      </c>
      <c r="C5574" s="10" t="s">
        <v>4841</v>
      </c>
      <c r="D5574" s="10" t="s">
        <v>5419</v>
      </c>
      <c r="E5574" s="10" t="str">
        <f>"644020240514091521178043"</f>
        <v>644020240514091521178043</v>
      </c>
      <c r="F5574" s="9"/>
    </row>
    <row r="5575" s="2" customFormat="1" ht="30" customHeight="1" spans="1:6">
      <c r="A5575" s="9">
        <v>5572</v>
      </c>
      <c r="B5575" s="10" t="s">
        <v>4840</v>
      </c>
      <c r="C5575" s="10" t="s">
        <v>4841</v>
      </c>
      <c r="D5575" s="10" t="s">
        <v>5420</v>
      </c>
      <c r="E5575" s="10" t="str">
        <f>"644020240514110927178635"</f>
        <v>644020240514110927178635</v>
      </c>
      <c r="F5575" s="9"/>
    </row>
    <row r="5576" s="2" customFormat="1" ht="30" customHeight="1" spans="1:6">
      <c r="A5576" s="9">
        <v>5573</v>
      </c>
      <c r="B5576" s="10" t="s">
        <v>4840</v>
      </c>
      <c r="C5576" s="10" t="s">
        <v>4841</v>
      </c>
      <c r="D5576" s="10" t="s">
        <v>5421</v>
      </c>
      <c r="E5576" s="10" t="str">
        <f>"644020240514110612178623"</f>
        <v>644020240514110612178623</v>
      </c>
      <c r="F5576" s="9"/>
    </row>
    <row r="5577" s="2" customFormat="1" ht="30" customHeight="1" spans="1:6">
      <c r="A5577" s="9">
        <v>5574</v>
      </c>
      <c r="B5577" s="10" t="s">
        <v>4840</v>
      </c>
      <c r="C5577" s="10" t="s">
        <v>4841</v>
      </c>
      <c r="D5577" s="10" t="s">
        <v>5422</v>
      </c>
      <c r="E5577" s="10" t="str">
        <f>"644020240513164207176009"</f>
        <v>644020240513164207176009</v>
      </c>
      <c r="F5577" s="9"/>
    </row>
    <row r="5578" s="2" customFormat="1" ht="30" customHeight="1" spans="1:6">
      <c r="A5578" s="9">
        <v>5575</v>
      </c>
      <c r="B5578" s="10" t="s">
        <v>4840</v>
      </c>
      <c r="C5578" s="10" t="s">
        <v>4841</v>
      </c>
      <c r="D5578" s="10" t="s">
        <v>5423</v>
      </c>
      <c r="E5578" s="10" t="str">
        <f>"644020240513114954174092"</f>
        <v>644020240513114954174092</v>
      </c>
      <c r="F5578" s="9"/>
    </row>
    <row r="5579" s="2" customFormat="1" ht="30" customHeight="1" spans="1:6">
      <c r="A5579" s="9">
        <v>5576</v>
      </c>
      <c r="B5579" s="10" t="s">
        <v>4840</v>
      </c>
      <c r="C5579" s="10" t="s">
        <v>4841</v>
      </c>
      <c r="D5579" s="10" t="s">
        <v>5424</v>
      </c>
      <c r="E5579" s="10" t="str">
        <f>"644020240513000051171929"</f>
        <v>644020240513000051171929</v>
      </c>
      <c r="F5579" s="9"/>
    </row>
    <row r="5580" s="2" customFormat="1" ht="30" customHeight="1" spans="1:6">
      <c r="A5580" s="9">
        <v>5577</v>
      </c>
      <c r="B5580" s="10" t="s">
        <v>4840</v>
      </c>
      <c r="C5580" s="10" t="s">
        <v>4841</v>
      </c>
      <c r="D5580" s="10" t="s">
        <v>5425</v>
      </c>
      <c r="E5580" s="10" t="str">
        <f>"644020240513203306176840"</f>
        <v>644020240513203306176840</v>
      </c>
      <c r="F5580" s="9"/>
    </row>
    <row r="5581" s="2" customFormat="1" ht="30" customHeight="1" spans="1:6">
      <c r="A5581" s="9">
        <v>5578</v>
      </c>
      <c r="B5581" s="10" t="s">
        <v>4840</v>
      </c>
      <c r="C5581" s="10" t="s">
        <v>4841</v>
      </c>
      <c r="D5581" s="10" t="s">
        <v>5426</v>
      </c>
      <c r="E5581" s="10" t="str">
        <f>"644020240514104519178529"</f>
        <v>644020240514104519178529</v>
      </c>
      <c r="F5581" s="9"/>
    </row>
    <row r="5582" s="2" customFormat="1" ht="30" customHeight="1" spans="1:6">
      <c r="A5582" s="9">
        <v>5579</v>
      </c>
      <c r="B5582" s="10" t="s">
        <v>4840</v>
      </c>
      <c r="C5582" s="10" t="s">
        <v>4841</v>
      </c>
      <c r="D5582" s="10" t="s">
        <v>5427</v>
      </c>
      <c r="E5582" s="10" t="str">
        <f>"644020240514104140178503"</f>
        <v>644020240514104140178503</v>
      </c>
      <c r="F5582" s="9"/>
    </row>
    <row r="5583" s="2" customFormat="1" ht="30" customHeight="1" spans="1:6">
      <c r="A5583" s="9">
        <v>5580</v>
      </c>
      <c r="B5583" s="10" t="s">
        <v>4840</v>
      </c>
      <c r="C5583" s="10" t="s">
        <v>4841</v>
      </c>
      <c r="D5583" s="10" t="s">
        <v>5428</v>
      </c>
      <c r="E5583" s="10" t="str">
        <f>"644020240514104747178542"</f>
        <v>644020240514104747178542</v>
      </c>
      <c r="F5583" s="9"/>
    </row>
    <row r="5584" s="2" customFormat="1" ht="30" customHeight="1" spans="1:6">
      <c r="A5584" s="9">
        <v>5581</v>
      </c>
      <c r="B5584" s="10" t="s">
        <v>4840</v>
      </c>
      <c r="C5584" s="10" t="s">
        <v>4841</v>
      </c>
      <c r="D5584" s="10" t="s">
        <v>5429</v>
      </c>
      <c r="E5584" s="10" t="str">
        <f>"644020240514111131178645"</f>
        <v>644020240514111131178645</v>
      </c>
      <c r="F5584" s="9"/>
    </row>
    <row r="5585" s="2" customFormat="1" ht="30" customHeight="1" spans="1:6">
      <c r="A5585" s="9">
        <v>5582</v>
      </c>
      <c r="B5585" s="10" t="s">
        <v>4840</v>
      </c>
      <c r="C5585" s="10" t="s">
        <v>4841</v>
      </c>
      <c r="D5585" s="10" t="s">
        <v>5430</v>
      </c>
      <c r="E5585" s="10" t="str">
        <f>"644020240513154738175648"</f>
        <v>644020240513154738175648</v>
      </c>
      <c r="F5585" s="9"/>
    </row>
    <row r="5586" s="2" customFormat="1" ht="30" customHeight="1" spans="1:6">
      <c r="A5586" s="9">
        <v>5583</v>
      </c>
      <c r="B5586" s="10" t="s">
        <v>4840</v>
      </c>
      <c r="C5586" s="10" t="s">
        <v>4841</v>
      </c>
      <c r="D5586" s="10" t="s">
        <v>5431</v>
      </c>
      <c r="E5586" s="10" t="str">
        <f>"644020240514112250178692"</f>
        <v>644020240514112250178692</v>
      </c>
      <c r="F5586" s="9"/>
    </row>
    <row r="5587" s="2" customFormat="1" ht="30" customHeight="1" spans="1:6">
      <c r="A5587" s="9">
        <v>5584</v>
      </c>
      <c r="B5587" s="10" t="s">
        <v>4840</v>
      </c>
      <c r="C5587" s="10" t="s">
        <v>4841</v>
      </c>
      <c r="D5587" s="10" t="s">
        <v>5432</v>
      </c>
      <c r="E5587" s="10" t="str">
        <f>"644020240514112710178706"</f>
        <v>644020240514112710178706</v>
      </c>
      <c r="F5587" s="9"/>
    </row>
    <row r="5588" s="2" customFormat="1" ht="30" customHeight="1" spans="1:6">
      <c r="A5588" s="9">
        <v>5585</v>
      </c>
      <c r="B5588" s="10" t="s">
        <v>4840</v>
      </c>
      <c r="C5588" s="10" t="s">
        <v>4841</v>
      </c>
      <c r="D5588" s="10" t="s">
        <v>5433</v>
      </c>
      <c r="E5588" s="10" t="str">
        <f>"644020240513160326175799"</f>
        <v>644020240513160326175799</v>
      </c>
      <c r="F5588" s="9"/>
    </row>
    <row r="5589" s="2" customFormat="1" ht="30" customHeight="1" spans="1:6">
      <c r="A5589" s="9">
        <v>5586</v>
      </c>
      <c r="B5589" s="10" t="s">
        <v>4840</v>
      </c>
      <c r="C5589" s="10" t="s">
        <v>4841</v>
      </c>
      <c r="D5589" s="10" t="s">
        <v>5434</v>
      </c>
      <c r="E5589" s="10" t="str">
        <f>"644020240514112913178718"</f>
        <v>644020240514112913178718</v>
      </c>
      <c r="F5589" s="9"/>
    </row>
    <row r="5590" s="2" customFormat="1" ht="30" customHeight="1" spans="1:6">
      <c r="A5590" s="9">
        <v>5587</v>
      </c>
      <c r="B5590" s="10" t="s">
        <v>4840</v>
      </c>
      <c r="C5590" s="10" t="s">
        <v>4841</v>
      </c>
      <c r="D5590" s="10" t="s">
        <v>5435</v>
      </c>
      <c r="E5590" s="10" t="str">
        <f>"644020240514112346178697"</f>
        <v>644020240514112346178697</v>
      </c>
      <c r="F5590" s="9"/>
    </row>
    <row r="5591" s="2" customFormat="1" ht="30" customHeight="1" spans="1:6">
      <c r="A5591" s="9">
        <v>5588</v>
      </c>
      <c r="B5591" s="10" t="s">
        <v>4840</v>
      </c>
      <c r="C5591" s="10" t="s">
        <v>4841</v>
      </c>
      <c r="D5591" s="10" t="s">
        <v>5436</v>
      </c>
      <c r="E5591" s="10" t="str">
        <f>"644020240513144311175057"</f>
        <v>644020240513144311175057</v>
      </c>
      <c r="F5591" s="9"/>
    </row>
    <row r="5592" s="2" customFormat="1" ht="30" customHeight="1" spans="1:6">
      <c r="A5592" s="9">
        <v>5589</v>
      </c>
      <c r="B5592" s="10" t="s">
        <v>4840</v>
      </c>
      <c r="C5592" s="10" t="s">
        <v>4841</v>
      </c>
      <c r="D5592" s="10" t="s">
        <v>2169</v>
      </c>
      <c r="E5592" s="10" t="str">
        <f>"644020240514113129178730"</f>
        <v>644020240514113129178730</v>
      </c>
      <c r="F5592" s="9"/>
    </row>
    <row r="5593" s="2" customFormat="1" ht="30" customHeight="1" spans="1:6">
      <c r="A5593" s="9">
        <v>5590</v>
      </c>
      <c r="B5593" s="10" t="s">
        <v>4840</v>
      </c>
      <c r="C5593" s="10" t="s">
        <v>4841</v>
      </c>
      <c r="D5593" s="10" t="s">
        <v>5437</v>
      </c>
      <c r="E5593" s="10" t="str">
        <f>"644020240514112237178687"</f>
        <v>644020240514112237178687</v>
      </c>
      <c r="F5593" s="9"/>
    </row>
    <row r="5594" s="2" customFormat="1" ht="30" customHeight="1" spans="1:6">
      <c r="A5594" s="9">
        <v>5591</v>
      </c>
      <c r="B5594" s="10" t="s">
        <v>4840</v>
      </c>
      <c r="C5594" s="10" t="s">
        <v>4841</v>
      </c>
      <c r="D5594" s="10" t="s">
        <v>5438</v>
      </c>
      <c r="E5594" s="10" t="str">
        <f>"644020240514114348178777"</f>
        <v>644020240514114348178777</v>
      </c>
      <c r="F5594" s="9"/>
    </row>
    <row r="5595" s="2" customFormat="1" ht="30" customHeight="1" spans="1:6">
      <c r="A5595" s="9">
        <v>5592</v>
      </c>
      <c r="B5595" s="10" t="s">
        <v>4840</v>
      </c>
      <c r="C5595" s="10" t="s">
        <v>4841</v>
      </c>
      <c r="D5595" s="10" t="s">
        <v>5439</v>
      </c>
      <c r="E5595" s="10" t="str">
        <f>"644020240514113536178749"</f>
        <v>644020240514113536178749</v>
      </c>
      <c r="F5595" s="9"/>
    </row>
    <row r="5596" s="2" customFormat="1" ht="30" customHeight="1" spans="1:6">
      <c r="A5596" s="9">
        <v>5593</v>
      </c>
      <c r="B5596" s="10" t="s">
        <v>4840</v>
      </c>
      <c r="C5596" s="10" t="s">
        <v>4841</v>
      </c>
      <c r="D5596" s="10" t="s">
        <v>5440</v>
      </c>
      <c r="E5596" s="10" t="str">
        <f>"644020240513170700176130"</f>
        <v>644020240513170700176130</v>
      </c>
      <c r="F5596" s="9"/>
    </row>
    <row r="5597" s="2" customFormat="1" ht="30" customHeight="1" spans="1:6">
      <c r="A5597" s="9">
        <v>5594</v>
      </c>
      <c r="B5597" s="10" t="s">
        <v>4840</v>
      </c>
      <c r="C5597" s="10" t="s">
        <v>4841</v>
      </c>
      <c r="D5597" s="10" t="s">
        <v>5441</v>
      </c>
      <c r="E5597" s="10" t="str">
        <f>"644020240514114714178789"</f>
        <v>644020240514114714178789</v>
      </c>
      <c r="F5597" s="9"/>
    </row>
    <row r="5598" s="2" customFormat="1" ht="30" customHeight="1" spans="1:6">
      <c r="A5598" s="9">
        <v>5595</v>
      </c>
      <c r="B5598" s="10" t="s">
        <v>4840</v>
      </c>
      <c r="C5598" s="10" t="s">
        <v>4841</v>
      </c>
      <c r="D5598" s="10" t="s">
        <v>5442</v>
      </c>
      <c r="E5598" s="10" t="str">
        <f>"644020240513173602176258"</f>
        <v>644020240513173602176258</v>
      </c>
      <c r="F5598" s="9"/>
    </row>
    <row r="5599" s="2" customFormat="1" ht="30" customHeight="1" spans="1:6">
      <c r="A5599" s="9">
        <v>5596</v>
      </c>
      <c r="B5599" s="10" t="s">
        <v>4840</v>
      </c>
      <c r="C5599" s="10" t="s">
        <v>4841</v>
      </c>
      <c r="D5599" s="10" t="s">
        <v>5443</v>
      </c>
      <c r="E5599" s="10" t="str">
        <f>"644020240514113549178751"</f>
        <v>644020240514113549178751</v>
      </c>
      <c r="F5599" s="9"/>
    </row>
    <row r="5600" s="2" customFormat="1" ht="30" customHeight="1" spans="1:6">
      <c r="A5600" s="9">
        <v>5597</v>
      </c>
      <c r="B5600" s="10" t="s">
        <v>4840</v>
      </c>
      <c r="C5600" s="10" t="s">
        <v>4841</v>
      </c>
      <c r="D5600" s="10" t="s">
        <v>5444</v>
      </c>
      <c r="E5600" s="10" t="str">
        <f>"644020240514103333178452"</f>
        <v>644020240514103333178452</v>
      </c>
      <c r="F5600" s="9"/>
    </row>
    <row r="5601" s="2" customFormat="1" ht="30" customHeight="1" spans="1:6">
      <c r="A5601" s="9">
        <v>5598</v>
      </c>
      <c r="B5601" s="10" t="s">
        <v>4840</v>
      </c>
      <c r="C5601" s="10" t="s">
        <v>4841</v>
      </c>
      <c r="D5601" s="10" t="s">
        <v>5445</v>
      </c>
      <c r="E5601" s="10" t="str">
        <f>"644020240514104216178506"</f>
        <v>644020240514104216178506</v>
      </c>
      <c r="F5601" s="9"/>
    </row>
    <row r="5602" s="2" customFormat="1" ht="30" customHeight="1" spans="1:6">
      <c r="A5602" s="9">
        <v>5599</v>
      </c>
      <c r="B5602" s="10" t="s">
        <v>4840</v>
      </c>
      <c r="C5602" s="10" t="s">
        <v>4841</v>
      </c>
      <c r="D5602" s="10" t="s">
        <v>5446</v>
      </c>
      <c r="E5602" s="10" t="str">
        <f>"644020240513214936177171"</f>
        <v>644020240513214936177171</v>
      </c>
      <c r="F5602" s="9"/>
    </row>
    <row r="5603" s="2" customFormat="1" ht="30" customHeight="1" spans="1:6">
      <c r="A5603" s="9">
        <v>5600</v>
      </c>
      <c r="B5603" s="10" t="s">
        <v>4840</v>
      </c>
      <c r="C5603" s="10" t="s">
        <v>4841</v>
      </c>
      <c r="D5603" s="10" t="s">
        <v>5447</v>
      </c>
      <c r="E5603" s="10" t="str">
        <f>"644020240513141750174892"</f>
        <v>644020240513141750174892</v>
      </c>
      <c r="F5603" s="9"/>
    </row>
    <row r="5604" s="2" customFormat="1" ht="30" customHeight="1" spans="1:6">
      <c r="A5604" s="9">
        <v>5601</v>
      </c>
      <c r="B5604" s="10" t="s">
        <v>4840</v>
      </c>
      <c r="C5604" s="10" t="s">
        <v>4841</v>
      </c>
      <c r="D5604" s="10" t="s">
        <v>5448</v>
      </c>
      <c r="E5604" s="10" t="str">
        <f>"644020240514115015178798"</f>
        <v>644020240514115015178798</v>
      </c>
      <c r="F5604" s="9"/>
    </row>
    <row r="5605" s="2" customFormat="1" ht="30" customHeight="1" spans="1:6">
      <c r="A5605" s="9">
        <v>5602</v>
      </c>
      <c r="B5605" s="10" t="s">
        <v>4840</v>
      </c>
      <c r="C5605" s="10" t="s">
        <v>4841</v>
      </c>
      <c r="D5605" s="10" t="s">
        <v>5449</v>
      </c>
      <c r="E5605" s="10" t="str">
        <f>"644020240514105821178595"</f>
        <v>644020240514105821178595</v>
      </c>
      <c r="F5605" s="9"/>
    </row>
    <row r="5606" s="2" customFormat="1" ht="30" customHeight="1" spans="1:6">
      <c r="A5606" s="9">
        <v>5603</v>
      </c>
      <c r="B5606" s="10" t="s">
        <v>4840</v>
      </c>
      <c r="C5606" s="10" t="s">
        <v>4841</v>
      </c>
      <c r="D5606" s="10" t="s">
        <v>5450</v>
      </c>
      <c r="E5606" s="10" t="str">
        <f>"644020240513225452177470"</f>
        <v>644020240513225452177470</v>
      </c>
      <c r="F5606" s="9"/>
    </row>
    <row r="5607" s="2" customFormat="1" ht="30" customHeight="1" spans="1:6">
      <c r="A5607" s="9">
        <v>5604</v>
      </c>
      <c r="B5607" s="10" t="s">
        <v>4840</v>
      </c>
      <c r="C5607" s="10" t="s">
        <v>4841</v>
      </c>
      <c r="D5607" s="10" t="s">
        <v>5451</v>
      </c>
      <c r="E5607" s="10" t="str">
        <f>"644020240514120436178831"</f>
        <v>644020240514120436178831</v>
      </c>
      <c r="F5607" s="9"/>
    </row>
    <row r="5608" s="2" customFormat="1" ht="30" customHeight="1" spans="1:6">
      <c r="A5608" s="9">
        <v>5605</v>
      </c>
      <c r="B5608" s="10" t="s">
        <v>4840</v>
      </c>
      <c r="C5608" s="10" t="s">
        <v>4841</v>
      </c>
      <c r="D5608" s="10" t="s">
        <v>5452</v>
      </c>
      <c r="E5608" s="10" t="str">
        <f>"644020240514111707178664"</f>
        <v>644020240514111707178664</v>
      </c>
      <c r="F5608" s="9"/>
    </row>
    <row r="5609" s="2" customFormat="1" ht="30" customHeight="1" spans="1:6">
      <c r="A5609" s="9">
        <v>5606</v>
      </c>
      <c r="B5609" s="10" t="s">
        <v>4840</v>
      </c>
      <c r="C5609" s="10" t="s">
        <v>4841</v>
      </c>
      <c r="D5609" s="10" t="s">
        <v>5453</v>
      </c>
      <c r="E5609" s="10" t="str">
        <f>"644020240512211158171050"</f>
        <v>644020240512211158171050</v>
      </c>
      <c r="F5609" s="9"/>
    </row>
    <row r="5610" s="2" customFormat="1" ht="30" customHeight="1" spans="1:6">
      <c r="A5610" s="9">
        <v>5607</v>
      </c>
      <c r="B5610" s="10" t="s">
        <v>4840</v>
      </c>
      <c r="C5610" s="10" t="s">
        <v>4841</v>
      </c>
      <c r="D5610" s="10" t="s">
        <v>5454</v>
      </c>
      <c r="E5610" s="10" t="str">
        <f>"644020240514122908178894"</f>
        <v>644020240514122908178894</v>
      </c>
      <c r="F5610" s="9"/>
    </row>
    <row r="5611" s="2" customFormat="1" ht="30" customHeight="1" spans="1:6">
      <c r="A5611" s="9">
        <v>5608</v>
      </c>
      <c r="B5611" s="10" t="s">
        <v>4840</v>
      </c>
      <c r="C5611" s="10" t="s">
        <v>4841</v>
      </c>
      <c r="D5611" s="10" t="s">
        <v>4018</v>
      </c>
      <c r="E5611" s="10" t="str">
        <f>"644020240514092401178084"</f>
        <v>644020240514092401178084</v>
      </c>
      <c r="F5611" s="9"/>
    </row>
    <row r="5612" s="2" customFormat="1" ht="30" customHeight="1" spans="1:6">
      <c r="A5612" s="9">
        <v>5609</v>
      </c>
      <c r="B5612" s="10" t="s">
        <v>4840</v>
      </c>
      <c r="C5612" s="10" t="s">
        <v>4841</v>
      </c>
      <c r="D5612" s="10" t="s">
        <v>5455</v>
      </c>
      <c r="E5612" s="10" t="str">
        <f>"644020240514102916178427"</f>
        <v>644020240514102916178427</v>
      </c>
      <c r="F5612" s="9"/>
    </row>
    <row r="5613" s="2" customFormat="1" ht="30" customHeight="1" spans="1:6">
      <c r="A5613" s="9">
        <v>5610</v>
      </c>
      <c r="B5613" s="10" t="s">
        <v>4840</v>
      </c>
      <c r="C5613" s="10" t="s">
        <v>4841</v>
      </c>
      <c r="D5613" s="10" t="s">
        <v>5456</v>
      </c>
      <c r="E5613" s="10" t="str">
        <f>"644020240514124510178927"</f>
        <v>644020240514124510178927</v>
      </c>
      <c r="F5613" s="9"/>
    </row>
    <row r="5614" s="2" customFormat="1" ht="30" customHeight="1" spans="1:6">
      <c r="A5614" s="9">
        <v>5611</v>
      </c>
      <c r="B5614" s="10" t="s">
        <v>4840</v>
      </c>
      <c r="C5614" s="10" t="s">
        <v>4841</v>
      </c>
      <c r="D5614" s="10" t="s">
        <v>5457</v>
      </c>
      <c r="E5614" s="10" t="str">
        <f>"644020240514124802178935"</f>
        <v>644020240514124802178935</v>
      </c>
      <c r="F5614" s="9"/>
    </row>
    <row r="5615" s="2" customFormat="1" ht="30" customHeight="1" spans="1:6">
      <c r="A5615" s="9">
        <v>5612</v>
      </c>
      <c r="B5615" s="10" t="s">
        <v>4840</v>
      </c>
      <c r="C5615" s="10" t="s">
        <v>4841</v>
      </c>
      <c r="D5615" s="10" t="s">
        <v>5458</v>
      </c>
      <c r="E5615" s="10" t="str">
        <f>"644020240512205852170986"</f>
        <v>644020240512205852170986</v>
      </c>
      <c r="F5615" s="9"/>
    </row>
    <row r="5616" s="2" customFormat="1" ht="30" customHeight="1" spans="1:6">
      <c r="A5616" s="9">
        <v>5613</v>
      </c>
      <c r="B5616" s="10" t="s">
        <v>4840</v>
      </c>
      <c r="C5616" s="10" t="s">
        <v>4841</v>
      </c>
      <c r="D5616" s="10" t="s">
        <v>5459</v>
      </c>
      <c r="E5616" s="10" t="str">
        <f>"644020240514121959178877"</f>
        <v>644020240514121959178877</v>
      </c>
      <c r="F5616" s="9"/>
    </row>
    <row r="5617" s="2" customFormat="1" ht="30" customHeight="1" spans="1:6">
      <c r="A5617" s="9">
        <v>5614</v>
      </c>
      <c r="B5617" s="10" t="s">
        <v>4840</v>
      </c>
      <c r="C5617" s="10" t="s">
        <v>4841</v>
      </c>
      <c r="D5617" s="10" t="s">
        <v>5460</v>
      </c>
      <c r="E5617" s="10" t="str">
        <f>"644020240514125536178945"</f>
        <v>644020240514125536178945</v>
      </c>
      <c r="F5617" s="9"/>
    </row>
    <row r="5618" s="2" customFormat="1" ht="30" customHeight="1" spans="1:6">
      <c r="A5618" s="9">
        <v>5615</v>
      </c>
      <c r="B5618" s="10" t="s">
        <v>4840</v>
      </c>
      <c r="C5618" s="10" t="s">
        <v>4841</v>
      </c>
      <c r="D5618" s="10" t="s">
        <v>5461</v>
      </c>
      <c r="E5618" s="10" t="str">
        <f>"644020240514124950178937"</f>
        <v>644020240514124950178937</v>
      </c>
      <c r="F5618" s="9"/>
    </row>
    <row r="5619" s="2" customFormat="1" ht="30" customHeight="1" spans="1:6">
      <c r="A5619" s="9">
        <v>5616</v>
      </c>
      <c r="B5619" s="10" t="s">
        <v>4840</v>
      </c>
      <c r="C5619" s="10" t="s">
        <v>4841</v>
      </c>
      <c r="D5619" s="10" t="s">
        <v>5462</v>
      </c>
      <c r="E5619" s="10" t="str">
        <f>"644020240513112052173890"</f>
        <v>644020240513112052173890</v>
      </c>
      <c r="F5619" s="9"/>
    </row>
    <row r="5620" s="2" customFormat="1" ht="30" customHeight="1" spans="1:6">
      <c r="A5620" s="9">
        <v>5617</v>
      </c>
      <c r="B5620" s="10" t="s">
        <v>4840</v>
      </c>
      <c r="C5620" s="10" t="s">
        <v>4841</v>
      </c>
      <c r="D5620" s="10" t="s">
        <v>5463</v>
      </c>
      <c r="E5620" s="10" t="str">
        <f>"644020240513153603175527"</f>
        <v>644020240513153603175527</v>
      </c>
      <c r="F5620" s="9"/>
    </row>
    <row r="5621" s="2" customFormat="1" ht="30" customHeight="1" spans="1:6">
      <c r="A5621" s="9">
        <v>5618</v>
      </c>
      <c r="B5621" s="10" t="s">
        <v>4840</v>
      </c>
      <c r="C5621" s="10" t="s">
        <v>4841</v>
      </c>
      <c r="D5621" s="10" t="s">
        <v>5464</v>
      </c>
      <c r="E5621" s="10" t="str">
        <f>"644020240513110819173760"</f>
        <v>644020240513110819173760</v>
      </c>
      <c r="F5621" s="9"/>
    </row>
    <row r="5622" s="2" customFormat="1" ht="30" customHeight="1" spans="1:6">
      <c r="A5622" s="9">
        <v>5619</v>
      </c>
      <c r="B5622" s="10" t="s">
        <v>4840</v>
      </c>
      <c r="C5622" s="10" t="s">
        <v>4841</v>
      </c>
      <c r="D5622" s="10" t="s">
        <v>5465</v>
      </c>
      <c r="E5622" s="10" t="str">
        <f>"644020240514124704178932"</f>
        <v>644020240514124704178932</v>
      </c>
      <c r="F5622" s="9"/>
    </row>
    <row r="5623" s="2" customFormat="1" ht="30" customHeight="1" spans="1:6">
      <c r="A5623" s="9">
        <v>5620</v>
      </c>
      <c r="B5623" s="10" t="s">
        <v>4840</v>
      </c>
      <c r="C5623" s="10" t="s">
        <v>4841</v>
      </c>
      <c r="D5623" s="10" t="s">
        <v>5466</v>
      </c>
      <c r="E5623" s="10" t="str">
        <f>"644020240514133353179032"</f>
        <v>644020240514133353179032</v>
      </c>
      <c r="F5623" s="9"/>
    </row>
    <row r="5624" s="2" customFormat="1" ht="30" customHeight="1" spans="1:6">
      <c r="A5624" s="9">
        <v>5621</v>
      </c>
      <c r="B5624" s="10" t="s">
        <v>4840</v>
      </c>
      <c r="C5624" s="10" t="s">
        <v>4841</v>
      </c>
      <c r="D5624" s="10" t="s">
        <v>5467</v>
      </c>
      <c r="E5624" s="10" t="str">
        <f>"644020240512155348169856"</f>
        <v>644020240512155348169856</v>
      </c>
      <c r="F5624" s="9"/>
    </row>
    <row r="5625" s="2" customFormat="1" ht="30" customHeight="1" spans="1:6">
      <c r="A5625" s="9">
        <v>5622</v>
      </c>
      <c r="B5625" s="10" t="s">
        <v>4840</v>
      </c>
      <c r="C5625" s="10" t="s">
        <v>4841</v>
      </c>
      <c r="D5625" s="10" t="s">
        <v>5468</v>
      </c>
      <c r="E5625" s="10" t="str">
        <f>"644020240513173603176259"</f>
        <v>644020240513173603176259</v>
      </c>
      <c r="F5625" s="9"/>
    </row>
    <row r="5626" s="2" customFormat="1" ht="30" customHeight="1" spans="1:6">
      <c r="A5626" s="9">
        <v>5623</v>
      </c>
      <c r="B5626" s="10" t="s">
        <v>4840</v>
      </c>
      <c r="C5626" s="10" t="s">
        <v>4841</v>
      </c>
      <c r="D5626" s="10" t="s">
        <v>5469</v>
      </c>
      <c r="E5626" s="10" t="str">
        <f>"644020240514130437178971"</f>
        <v>644020240514130437178971</v>
      </c>
      <c r="F5626" s="9"/>
    </row>
    <row r="5627" s="2" customFormat="1" ht="30" customHeight="1" spans="1:6">
      <c r="A5627" s="9">
        <v>5624</v>
      </c>
      <c r="B5627" s="10" t="s">
        <v>4840</v>
      </c>
      <c r="C5627" s="10" t="s">
        <v>4841</v>
      </c>
      <c r="D5627" s="10" t="s">
        <v>5470</v>
      </c>
      <c r="E5627" s="10" t="str">
        <f>"644020240513203755176868"</f>
        <v>644020240513203755176868</v>
      </c>
      <c r="F5627" s="9"/>
    </row>
    <row r="5628" s="2" customFormat="1" ht="30" customHeight="1" spans="1:6">
      <c r="A5628" s="9">
        <v>5625</v>
      </c>
      <c r="B5628" s="10" t="s">
        <v>4840</v>
      </c>
      <c r="C5628" s="10" t="s">
        <v>4841</v>
      </c>
      <c r="D5628" s="10" t="s">
        <v>5471</v>
      </c>
      <c r="E5628" s="10" t="str">
        <f>"644020240514132859179025"</f>
        <v>644020240514132859179025</v>
      </c>
      <c r="F5628" s="9"/>
    </row>
    <row r="5629" s="2" customFormat="1" ht="30" customHeight="1" spans="1:6">
      <c r="A5629" s="9">
        <v>5626</v>
      </c>
      <c r="B5629" s="10" t="s">
        <v>4840</v>
      </c>
      <c r="C5629" s="10" t="s">
        <v>4841</v>
      </c>
      <c r="D5629" s="10" t="s">
        <v>5472</v>
      </c>
      <c r="E5629" s="10" t="str">
        <f>"644020240512135617169448"</f>
        <v>644020240512135617169448</v>
      </c>
      <c r="F5629" s="9"/>
    </row>
    <row r="5630" s="2" customFormat="1" ht="30" customHeight="1" spans="1:6">
      <c r="A5630" s="9">
        <v>5627</v>
      </c>
      <c r="B5630" s="10" t="s">
        <v>4840</v>
      </c>
      <c r="C5630" s="10" t="s">
        <v>4841</v>
      </c>
      <c r="D5630" s="10" t="s">
        <v>5473</v>
      </c>
      <c r="E5630" s="10" t="str">
        <f>"644020240514140524179085"</f>
        <v>644020240514140524179085</v>
      </c>
      <c r="F5630" s="9"/>
    </row>
    <row r="5631" s="2" customFormat="1" ht="30" customHeight="1" spans="1:6">
      <c r="A5631" s="9">
        <v>5628</v>
      </c>
      <c r="B5631" s="10" t="s">
        <v>4840</v>
      </c>
      <c r="C5631" s="10" t="s">
        <v>4841</v>
      </c>
      <c r="D5631" s="10" t="s">
        <v>5474</v>
      </c>
      <c r="E5631" s="10" t="str">
        <f>"644020240513182615176417"</f>
        <v>644020240513182615176417</v>
      </c>
      <c r="F5631" s="9"/>
    </row>
    <row r="5632" s="2" customFormat="1" ht="30" customHeight="1" spans="1:6">
      <c r="A5632" s="9">
        <v>5629</v>
      </c>
      <c r="B5632" s="10" t="s">
        <v>4840</v>
      </c>
      <c r="C5632" s="10" t="s">
        <v>4841</v>
      </c>
      <c r="D5632" s="10" t="s">
        <v>5475</v>
      </c>
      <c r="E5632" s="10" t="str">
        <f>"644020240514113515178748"</f>
        <v>644020240514113515178748</v>
      </c>
      <c r="F5632" s="9"/>
    </row>
    <row r="5633" s="2" customFormat="1" ht="30" customHeight="1" spans="1:6">
      <c r="A5633" s="9">
        <v>5630</v>
      </c>
      <c r="B5633" s="10" t="s">
        <v>4840</v>
      </c>
      <c r="C5633" s="10" t="s">
        <v>4841</v>
      </c>
      <c r="D5633" s="10" t="s">
        <v>5476</v>
      </c>
      <c r="E5633" s="10" t="str">
        <f>"644020240514142215179120"</f>
        <v>644020240514142215179120</v>
      </c>
      <c r="F5633" s="9"/>
    </row>
    <row r="5634" s="2" customFormat="1" ht="30" customHeight="1" spans="1:6">
      <c r="A5634" s="9">
        <v>5631</v>
      </c>
      <c r="B5634" s="10" t="s">
        <v>4840</v>
      </c>
      <c r="C5634" s="10" t="s">
        <v>4841</v>
      </c>
      <c r="D5634" s="10" t="s">
        <v>5477</v>
      </c>
      <c r="E5634" s="10" t="str">
        <f>"644020240514131058178986"</f>
        <v>644020240514131058178986</v>
      </c>
      <c r="F5634" s="9"/>
    </row>
    <row r="5635" s="2" customFormat="1" ht="30" customHeight="1" spans="1:6">
      <c r="A5635" s="9">
        <v>5632</v>
      </c>
      <c r="B5635" s="10" t="s">
        <v>4840</v>
      </c>
      <c r="C5635" s="10" t="s">
        <v>4841</v>
      </c>
      <c r="D5635" s="10" t="s">
        <v>5478</v>
      </c>
      <c r="E5635" s="10" t="str">
        <f>"644020240512093108168248"</f>
        <v>644020240512093108168248</v>
      </c>
      <c r="F5635" s="9"/>
    </row>
    <row r="5636" s="2" customFormat="1" ht="30" customHeight="1" spans="1:6">
      <c r="A5636" s="9">
        <v>5633</v>
      </c>
      <c r="B5636" s="10" t="s">
        <v>4840</v>
      </c>
      <c r="C5636" s="10" t="s">
        <v>4841</v>
      </c>
      <c r="D5636" s="10" t="s">
        <v>5479</v>
      </c>
      <c r="E5636" s="10" t="str">
        <f>"644020240514133957179041"</f>
        <v>644020240514133957179041</v>
      </c>
      <c r="F5636" s="9"/>
    </row>
    <row r="5637" s="2" customFormat="1" ht="30" customHeight="1" spans="1:6">
      <c r="A5637" s="9">
        <v>5634</v>
      </c>
      <c r="B5637" s="10" t="s">
        <v>4840</v>
      </c>
      <c r="C5637" s="10" t="s">
        <v>4841</v>
      </c>
      <c r="D5637" s="10" t="s">
        <v>5480</v>
      </c>
      <c r="E5637" s="10" t="str">
        <f>"644020240514100133178276"</f>
        <v>644020240514100133178276</v>
      </c>
      <c r="F5637" s="9"/>
    </row>
    <row r="5638" s="2" customFormat="1" ht="30" customHeight="1" spans="1:6">
      <c r="A5638" s="9">
        <v>5635</v>
      </c>
      <c r="B5638" s="10" t="s">
        <v>4840</v>
      </c>
      <c r="C5638" s="10" t="s">
        <v>4841</v>
      </c>
      <c r="D5638" s="10" t="s">
        <v>5481</v>
      </c>
      <c r="E5638" s="10" t="str">
        <f>"644020240514145414179192"</f>
        <v>644020240514145414179192</v>
      </c>
      <c r="F5638" s="9"/>
    </row>
    <row r="5639" s="2" customFormat="1" ht="30" customHeight="1" spans="1:6">
      <c r="A5639" s="9">
        <v>5636</v>
      </c>
      <c r="B5639" s="10" t="s">
        <v>4840</v>
      </c>
      <c r="C5639" s="10" t="s">
        <v>4841</v>
      </c>
      <c r="D5639" s="10" t="s">
        <v>5482</v>
      </c>
      <c r="E5639" s="10" t="str">
        <f>"644020240514144018179147"</f>
        <v>644020240514144018179147</v>
      </c>
      <c r="F5639" s="9"/>
    </row>
    <row r="5640" s="2" customFormat="1" ht="30" customHeight="1" spans="1:6">
      <c r="A5640" s="9">
        <v>5637</v>
      </c>
      <c r="B5640" s="10" t="s">
        <v>4840</v>
      </c>
      <c r="C5640" s="10" t="s">
        <v>4841</v>
      </c>
      <c r="D5640" s="10" t="s">
        <v>5483</v>
      </c>
      <c r="E5640" s="10" t="str">
        <f>"644020240513195513176710"</f>
        <v>644020240513195513176710</v>
      </c>
      <c r="F5640" s="9"/>
    </row>
    <row r="5641" s="2" customFormat="1" ht="30" customHeight="1" spans="1:6">
      <c r="A5641" s="9">
        <v>5638</v>
      </c>
      <c r="B5641" s="10" t="s">
        <v>4840</v>
      </c>
      <c r="C5641" s="10" t="s">
        <v>4841</v>
      </c>
      <c r="D5641" s="10" t="s">
        <v>5484</v>
      </c>
      <c r="E5641" s="10" t="str">
        <f>"644020240514151414179246"</f>
        <v>644020240514151414179246</v>
      </c>
      <c r="F5641" s="9"/>
    </row>
    <row r="5642" s="2" customFormat="1" ht="30" customHeight="1" spans="1:6">
      <c r="A5642" s="9">
        <v>5639</v>
      </c>
      <c r="B5642" s="10" t="s">
        <v>4840</v>
      </c>
      <c r="C5642" s="10" t="s">
        <v>4841</v>
      </c>
      <c r="D5642" s="10" t="s">
        <v>5485</v>
      </c>
      <c r="E5642" s="10" t="str">
        <f>"644020240514151531179249"</f>
        <v>644020240514151531179249</v>
      </c>
      <c r="F5642" s="9"/>
    </row>
    <row r="5643" s="2" customFormat="1" ht="30" customHeight="1" spans="1:6">
      <c r="A5643" s="9">
        <v>5640</v>
      </c>
      <c r="B5643" s="10" t="s">
        <v>4840</v>
      </c>
      <c r="C5643" s="10" t="s">
        <v>4841</v>
      </c>
      <c r="D5643" s="10" t="s">
        <v>5486</v>
      </c>
      <c r="E5643" s="10" t="str">
        <f>"644020240514104036178495"</f>
        <v>644020240514104036178495</v>
      </c>
      <c r="F5643" s="9"/>
    </row>
    <row r="5644" s="2" customFormat="1" ht="30" customHeight="1" spans="1:6">
      <c r="A5644" s="9">
        <v>5641</v>
      </c>
      <c r="B5644" s="10" t="s">
        <v>4840</v>
      </c>
      <c r="C5644" s="10" t="s">
        <v>4841</v>
      </c>
      <c r="D5644" s="10" t="s">
        <v>5487</v>
      </c>
      <c r="E5644" s="10" t="str">
        <f>"644020240513160922175841"</f>
        <v>644020240513160922175841</v>
      </c>
      <c r="F5644" s="9"/>
    </row>
    <row r="5645" s="2" customFormat="1" ht="30" customHeight="1" spans="1:6">
      <c r="A5645" s="9">
        <v>5642</v>
      </c>
      <c r="B5645" s="10" t="s">
        <v>4840</v>
      </c>
      <c r="C5645" s="10" t="s">
        <v>4841</v>
      </c>
      <c r="D5645" s="10" t="s">
        <v>5488</v>
      </c>
      <c r="E5645" s="10" t="str">
        <f>"644020240514145029179177"</f>
        <v>644020240514145029179177</v>
      </c>
      <c r="F5645" s="9"/>
    </row>
    <row r="5646" s="2" customFormat="1" ht="30" customHeight="1" spans="1:6">
      <c r="A5646" s="9">
        <v>5643</v>
      </c>
      <c r="B5646" s="10" t="s">
        <v>4840</v>
      </c>
      <c r="C5646" s="10" t="s">
        <v>4841</v>
      </c>
      <c r="D5646" s="10" t="s">
        <v>5489</v>
      </c>
      <c r="E5646" s="10" t="str">
        <f>"644020240513091843172683"</f>
        <v>644020240513091843172683</v>
      </c>
      <c r="F5646" s="9"/>
    </row>
    <row r="5647" s="2" customFormat="1" ht="30" customHeight="1" spans="1:6">
      <c r="A5647" s="9">
        <v>5644</v>
      </c>
      <c r="B5647" s="10" t="s">
        <v>4840</v>
      </c>
      <c r="C5647" s="10" t="s">
        <v>4841</v>
      </c>
      <c r="D5647" s="10" t="s">
        <v>5490</v>
      </c>
      <c r="E5647" s="10" t="str">
        <f>"644020240514153154179304"</f>
        <v>644020240514153154179304</v>
      </c>
      <c r="F5647" s="9"/>
    </row>
    <row r="5648" s="2" customFormat="1" ht="30" customHeight="1" spans="1:6">
      <c r="A5648" s="9">
        <v>5645</v>
      </c>
      <c r="B5648" s="10" t="s">
        <v>4840</v>
      </c>
      <c r="C5648" s="10" t="s">
        <v>4841</v>
      </c>
      <c r="D5648" s="10" t="s">
        <v>5491</v>
      </c>
      <c r="E5648" s="10" t="str">
        <f>"644020240514151129179241"</f>
        <v>644020240514151129179241</v>
      </c>
      <c r="F5648" s="9"/>
    </row>
    <row r="5649" s="2" customFormat="1" ht="30" customHeight="1" spans="1:6">
      <c r="A5649" s="9">
        <v>5646</v>
      </c>
      <c r="B5649" s="10" t="s">
        <v>4840</v>
      </c>
      <c r="C5649" s="10" t="s">
        <v>4841</v>
      </c>
      <c r="D5649" s="10" t="s">
        <v>1522</v>
      </c>
      <c r="E5649" s="10" t="str">
        <f>"644020240513232135177558"</f>
        <v>644020240513232135177558</v>
      </c>
      <c r="F5649" s="9"/>
    </row>
    <row r="5650" s="2" customFormat="1" ht="30" customHeight="1" spans="1:6">
      <c r="A5650" s="9">
        <v>5647</v>
      </c>
      <c r="B5650" s="10" t="s">
        <v>4840</v>
      </c>
      <c r="C5650" s="10" t="s">
        <v>4841</v>
      </c>
      <c r="D5650" s="10" t="s">
        <v>5492</v>
      </c>
      <c r="E5650" s="10" t="str">
        <f>"644020240514155133179372"</f>
        <v>644020240514155133179372</v>
      </c>
      <c r="F5650" s="9"/>
    </row>
    <row r="5651" s="2" customFormat="1" ht="30" customHeight="1" spans="1:6">
      <c r="A5651" s="9">
        <v>5648</v>
      </c>
      <c r="B5651" s="10" t="s">
        <v>4840</v>
      </c>
      <c r="C5651" s="10" t="s">
        <v>4841</v>
      </c>
      <c r="D5651" s="10" t="s">
        <v>5493</v>
      </c>
      <c r="E5651" s="10" t="str">
        <f>"644020240514151513179248"</f>
        <v>644020240514151513179248</v>
      </c>
      <c r="F5651" s="9"/>
    </row>
    <row r="5652" s="2" customFormat="1" ht="30" customHeight="1" spans="1:6">
      <c r="A5652" s="9">
        <v>5649</v>
      </c>
      <c r="B5652" s="10" t="s">
        <v>4840</v>
      </c>
      <c r="C5652" s="10" t="s">
        <v>4841</v>
      </c>
      <c r="D5652" s="10" t="s">
        <v>5494</v>
      </c>
      <c r="E5652" s="10" t="str">
        <f>"644020240513230729177522"</f>
        <v>644020240513230729177522</v>
      </c>
      <c r="F5652" s="9"/>
    </row>
    <row r="5653" s="2" customFormat="1" ht="30" customHeight="1" spans="1:6">
      <c r="A5653" s="9">
        <v>5650</v>
      </c>
      <c r="B5653" s="10" t="s">
        <v>4840</v>
      </c>
      <c r="C5653" s="10" t="s">
        <v>4841</v>
      </c>
      <c r="D5653" s="10" t="s">
        <v>5495</v>
      </c>
      <c r="E5653" s="10" t="str">
        <f>"644020240514123644178907"</f>
        <v>644020240514123644178907</v>
      </c>
      <c r="F5653" s="9"/>
    </row>
    <row r="5654" s="2" customFormat="1" ht="30" customHeight="1" spans="1:6">
      <c r="A5654" s="9">
        <v>5651</v>
      </c>
      <c r="B5654" s="10" t="s">
        <v>4840</v>
      </c>
      <c r="C5654" s="10" t="s">
        <v>4841</v>
      </c>
      <c r="D5654" s="10" t="s">
        <v>5496</v>
      </c>
      <c r="E5654" s="10" t="str">
        <f>"644020240514155730179391"</f>
        <v>644020240514155730179391</v>
      </c>
      <c r="F5654" s="9"/>
    </row>
    <row r="5655" s="2" customFormat="1" ht="30" customHeight="1" spans="1:6">
      <c r="A5655" s="9">
        <v>5652</v>
      </c>
      <c r="B5655" s="10" t="s">
        <v>4840</v>
      </c>
      <c r="C5655" s="10" t="s">
        <v>4841</v>
      </c>
      <c r="D5655" s="10" t="s">
        <v>5497</v>
      </c>
      <c r="E5655" s="10" t="str">
        <f>"644020240514161755179458"</f>
        <v>644020240514161755179458</v>
      </c>
      <c r="F5655" s="9"/>
    </row>
    <row r="5656" s="2" customFormat="1" ht="30" customHeight="1" spans="1:6">
      <c r="A5656" s="9">
        <v>5653</v>
      </c>
      <c r="B5656" s="10" t="s">
        <v>4840</v>
      </c>
      <c r="C5656" s="10" t="s">
        <v>4841</v>
      </c>
      <c r="D5656" s="10" t="s">
        <v>5498</v>
      </c>
      <c r="E5656" s="10" t="str">
        <f>"644020240514161329179439"</f>
        <v>644020240514161329179439</v>
      </c>
      <c r="F5656" s="9"/>
    </row>
    <row r="5657" s="2" customFormat="1" ht="30" customHeight="1" spans="1:6">
      <c r="A5657" s="9">
        <v>5654</v>
      </c>
      <c r="B5657" s="10" t="s">
        <v>4840</v>
      </c>
      <c r="C5657" s="10" t="s">
        <v>4841</v>
      </c>
      <c r="D5657" s="10" t="s">
        <v>5499</v>
      </c>
      <c r="E5657" s="10" t="str">
        <f>"644020240514105305178570"</f>
        <v>644020240514105305178570</v>
      </c>
      <c r="F5657" s="9"/>
    </row>
    <row r="5658" s="2" customFormat="1" ht="30" customHeight="1" spans="1:6">
      <c r="A5658" s="9">
        <v>5655</v>
      </c>
      <c r="B5658" s="10" t="s">
        <v>4840</v>
      </c>
      <c r="C5658" s="10" t="s">
        <v>4841</v>
      </c>
      <c r="D5658" s="10" t="s">
        <v>5500</v>
      </c>
      <c r="E5658" s="10" t="str">
        <f>"644020240514161427179443"</f>
        <v>644020240514161427179443</v>
      </c>
      <c r="F5658" s="9"/>
    </row>
    <row r="5659" s="2" customFormat="1" ht="30" customHeight="1" spans="1:6">
      <c r="A5659" s="9">
        <v>5656</v>
      </c>
      <c r="B5659" s="10" t="s">
        <v>4840</v>
      </c>
      <c r="C5659" s="10" t="s">
        <v>4841</v>
      </c>
      <c r="D5659" s="10" t="s">
        <v>5501</v>
      </c>
      <c r="E5659" s="10" t="str">
        <f>"644020240513150959175275"</f>
        <v>644020240513150959175275</v>
      </c>
      <c r="F5659" s="9"/>
    </row>
    <row r="5660" s="2" customFormat="1" ht="30" customHeight="1" spans="1:6">
      <c r="A5660" s="9">
        <v>5657</v>
      </c>
      <c r="B5660" s="10" t="s">
        <v>4840</v>
      </c>
      <c r="C5660" s="10" t="s">
        <v>4841</v>
      </c>
      <c r="D5660" s="10" t="s">
        <v>5502</v>
      </c>
      <c r="E5660" s="10" t="str">
        <f>"644020240512123823169158"</f>
        <v>644020240512123823169158</v>
      </c>
      <c r="F5660" s="9"/>
    </row>
    <row r="5661" s="2" customFormat="1" ht="30" customHeight="1" spans="1:6">
      <c r="A5661" s="9">
        <v>5658</v>
      </c>
      <c r="B5661" s="10" t="s">
        <v>4840</v>
      </c>
      <c r="C5661" s="10" t="s">
        <v>4841</v>
      </c>
      <c r="D5661" s="10" t="s">
        <v>5503</v>
      </c>
      <c r="E5661" s="10" t="str">
        <f>"644020240513214858177167"</f>
        <v>644020240513214858177167</v>
      </c>
      <c r="F5661" s="9"/>
    </row>
    <row r="5662" s="2" customFormat="1" ht="30" customHeight="1" spans="1:6">
      <c r="A5662" s="9">
        <v>5659</v>
      </c>
      <c r="B5662" s="10" t="s">
        <v>4840</v>
      </c>
      <c r="C5662" s="10" t="s">
        <v>4841</v>
      </c>
      <c r="D5662" s="10" t="s">
        <v>5504</v>
      </c>
      <c r="E5662" s="10" t="str">
        <f>"644020240514150916179233"</f>
        <v>644020240514150916179233</v>
      </c>
      <c r="F5662" s="9"/>
    </row>
    <row r="5663" s="2" customFormat="1" ht="30" customHeight="1" spans="1:6">
      <c r="A5663" s="9">
        <v>5660</v>
      </c>
      <c r="B5663" s="10" t="s">
        <v>4840</v>
      </c>
      <c r="C5663" s="10" t="s">
        <v>4841</v>
      </c>
      <c r="D5663" s="10" t="s">
        <v>5505</v>
      </c>
      <c r="E5663" s="10" t="str">
        <f>"644020240514161555179451"</f>
        <v>644020240514161555179451</v>
      </c>
      <c r="F5663" s="9"/>
    </row>
    <row r="5664" s="2" customFormat="1" ht="30" customHeight="1" spans="1:6">
      <c r="A5664" s="9">
        <v>5661</v>
      </c>
      <c r="B5664" s="10" t="s">
        <v>4840</v>
      </c>
      <c r="C5664" s="10" t="s">
        <v>4841</v>
      </c>
      <c r="D5664" s="10" t="s">
        <v>5506</v>
      </c>
      <c r="E5664" s="10" t="str">
        <f>"644020240514163634179516"</f>
        <v>644020240514163634179516</v>
      </c>
      <c r="F5664" s="9"/>
    </row>
    <row r="5665" s="2" customFormat="1" ht="30" customHeight="1" spans="1:6">
      <c r="A5665" s="9">
        <v>5662</v>
      </c>
      <c r="B5665" s="10" t="s">
        <v>4840</v>
      </c>
      <c r="C5665" s="10" t="s">
        <v>4841</v>
      </c>
      <c r="D5665" s="10" t="s">
        <v>5507</v>
      </c>
      <c r="E5665" s="10" t="str">
        <f>"644020240514155833179395"</f>
        <v>644020240514155833179395</v>
      </c>
      <c r="F5665" s="9"/>
    </row>
    <row r="5666" s="2" customFormat="1" ht="30" customHeight="1" spans="1:6">
      <c r="A5666" s="9">
        <v>5663</v>
      </c>
      <c r="B5666" s="10" t="s">
        <v>4840</v>
      </c>
      <c r="C5666" s="10" t="s">
        <v>4841</v>
      </c>
      <c r="D5666" s="10" t="s">
        <v>5508</v>
      </c>
      <c r="E5666" s="10" t="str">
        <f>"644020240514120938178844"</f>
        <v>644020240514120938178844</v>
      </c>
      <c r="F5666" s="9"/>
    </row>
    <row r="5667" s="2" customFormat="1" ht="30" customHeight="1" spans="1:6">
      <c r="A5667" s="9">
        <v>5664</v>
      </c>
      <c r="B5667" s="10" t="s">
        <v>4840</v>
      </c>
      <c r="C5667" s="10" t="s">
        <v>4841</v>
      </c>
      <c r="D5667" s="10" t="s">
        <v>5509</v>
      </c>
      <c r="E5667" s="10" t="str">
        <f>"644020240512112707168869"</f>
        <v>644020240512112707168869</v>
      </c>
      <c r="F5667" s="9"/>
    </row>
    <row r="5668" s="2" customFormat="1" ht="30" customHeight="1" spans="1:6">
      <c r="A5668" s="9">
        <v>5665</v>
      </c>
      <c r="B5668" s="10" t="s">
        <v>4840</v>
      </c>
      <c r="C5668" s="10" t="s">
        <v>4841</v>
      </c>
      <c r="D5668" s="10" t="s">
        <v>5510</v>
      </c>
      <c r="E5668" s="10" t="str">
        <f>"644020240514165626179597"</f>
        <v>644020240514165626179597</v>
      </c>
      <c r="F5668" s="9"/>
    </row>
    <row r="5669" s="2" customFormat="1" ht="30" customHeight="1" spans="1:6">
      <c r="A5669" s="9">
        <v>5666</v>
      </c>
      <c r="B5669" s="10" t="s">
        <v>4840</v>
      </c>
      <c r="C5669" s="10" t="s">
        <v>4841</v>
      </c>
      <c r="D5669" s="10" t="s">
        <v>5511</v>
      </c>
      <c r="E5669" s="10" t="str">
        <f>"644020240514170029179611"</f>
        <v>644020240514170029179611</v>
      </c>
      <c r="F5669" s="9"/>
    </row>
    <row r="5670" s="2" customFormat="1" ht="30" customHeight="1" spans="1:6">
      <c r="A5670" s="9">
        <v>5667</v>
      </c>
      <c r="B5670" s="10" t="s">
        <v>4840</v>
      </c>
      <c r="C5670" s="10" t="s">
        <v>4841</v>
      </c>
      <c r="D5670" s="10" t="s">
        <v>5512</v>
      </c>
      <c r="E5670" s="10" t="str">
        <f>"644020240512230735171720"</f>
        <v>644020240512230735171720</v>
      </c>
      <c r="F5670" s="9"/>
    </row>
    <row r="5671" s="2" customFormat="1" ht="30" customHeight="1" spans="1:6">
      <c r="A5671" s="9">
        <v>5668</v>
      </c>
      <c r="B5671" s="10" t="s">
        <v>4840</v>
      </c>
      <c r="C5671" s="10" t="s">
        <v>4841</v>
      </c>
      <c r="D5671" s="10" t="s">
        <v>2657</v>
      </c>
      <c r="E5671" s="10" t="str">
        <f>"644020240514164857179564"</f>
        <v>644020240514164857179564</v>
      </c>
      <c r="F5671" s="9"/>
    </row>
    <row r="5672" s="2" customFormat="1" ht="30" customHeight="1" spans="1:6">
      <c r="A5672" s="9">
        <v>5669</v>
      </c>
      <c r="B5672" s="10" t="s">
        <v>4840</v>
      </c>
      <c r="C5672" s="10" t="s">
        <v>4841</v>
      </c>
      <c r="D5672" s="10" t="s">
        <v>5513</v>
      </c>
      <c r="E5672" s="10" t="str">
        <f>"644020240514102129178381"</f>
        <v>644020240514102129178381</v>
      </c>
      <c r="F5672" s="9"/>
    </row>
    <row r="5673" s="2" customFormat="1" ht="30" customHeight="1" spans="1:6">
      <c r="A5673" s="9">
        <v>5670</v>
      </c>
      <c r="B5673" s="10" t="s">
        <v>4840</v>
      </c>
      <c r="C5673" s="10" t="s">
        <v>4841</v>
      </c>
      <c r="D5673" s="10" t="s">
        <v>5514</v>
      </c>
      <c r="E5673" s="10" t="str">
        <f>"644020240512193003170605"</f>
        <v>644020240512193003170605</v>
      </c>
      <c r="F5673" s="9"/>
    </row>
    <row r="5674" s="2" customFormat="1" ht="30" customHeight="1" spans="1:6">
      <c r="A5674" s="9">
        <v>5671</v>
      </c>
      <c r="B5674" s="10" t="s">
        <v>4840</v>
      </c>
      <c r="C5674" s="10" t="s">
        <v>4841</v>
      </c>
      <c r="D5674" s="10" t="s">
        <v>5515</v>
      </c>
      <c r="E5674" s="10" t="str">
        <f>"644020240514171724179677"</f>
        <v>644020240514171724179677</v>
      </c>
      <c r="F5674" s="9"/>
    </row>
    <row r="5675" s="2" customFormat="1" ht="30" customHeight="1" spans="1:6">
      <c r="A5675" s="9">
        <v>5672</v>
      </c>
      <c r="B5675" s="10" t="s">
        <v>4840</v>
      </c>
      <c r="C5675" s="10" t="s">
        <v>4841</v>
      </c>
      <c r="D5675" s="10" t="s">
        <v>1148</v>
      </c>
      <c r="E5675" s="10" t="str">
        <f>"644020240514082001177839"</f>
        <v>644020240514082001177839</v>
      </c>
      <c r="F5675" s="9"/>
    </row>
    <row r="5676" s="2" customFormat="1" ht="30" customHeight="1" spans="1:6">
      <c r="A5676" s="9">
        <v>5673</v>
      </c>
      <c r="B5676" s="10" t="s">
        <v>4840</v>
      </c>
      <c r="C5676" s="10" t="s">
        <v>4841</v>
      </c>
      <c r="D5676" s="10" t="s">
        <v>5516</v>
      </c>
      <c r="E5676" s="10" t="str">
        <f>"644020240514080918177815"</f>
        <v>644020240514080918177815</v>
      </c>
      <c r="F5676" s="9"/>
    </row>
    <row r="5677" s="2" customFormat="1" ht="30" customHeight="1" spans="1:6">
      <c r="A5677" s="9">
        <v>5674</v>
      </c>
      <c r="B5677" s="10" t="s">
        <v>4840</v>
      </c>
      <c r="C5677" s="10" t="s">
        <v>4841</v>
      </c>
      <c r="D5677" s="10" t="s">
        <v>5517</v>
      </c>
      <c r="E5677" s="10" t="str">
        <f>"644020240514172618179699"</f>
        <v>644020240514172618179699</v>
      </c>
      <c r="F5677" s="9"/>
    </row>
    <row r="5678" s="2" customFormat="1" ht="30" customHeight="1" spans="1:6">
      <c r="A5678" s="9">
        <v>5675</v>
      </c>
      <c r="B5678" s="10" t="s">
        <v>4840</v>
      </c>
      <c r="C5678" s="10" t="s">
        <v>4841</v>
      </c>
      <c r="D5678" s="10" t="s">
        <v>5518</v>
      </c>
      <c r="E5678" s="10" t="str">
        <f>"644020240513094101172918"</f>
        <v>644020240513094101172918</v>
      </c>
      <c r="F5678" s="9"/>
    </row>
    <row r="5679" s="2" customFormat="1" ht="30" customHeight="1" spans="1:6">
      <c r="A5679" s="9">
        <v>5676</v>
      </c>
      <c r="B5679" s="10" t="s">
        <v>4840</v>
      </c>
      <c r="C5679" s="10" t="s">
        <v>4841</v>
      </c>
      <c r="D5679" s="10" t="s">
        <v>1383</v>
      </c>
      <c r="E5679" s="10" t="str">
        <f>"644020240514165810179604"</f>
        <v>644020240514165810179604</v>
      </c>
      <c r="F5679" s="9"/>
    </row>
    <row r="5680" s="2" customFormat="1" ht="30" customHeight="1" spans="1:6">
      <c r="A5680" s="9">
        <v>5677</v>
      </c>
      <c r="B5680" s="10" t="s">
        <v>4840</v>
      </c>
      <c r="C5680" s="10" t="s">
        <v>4841</v>
      </c>
      <c r="D5680" s="10" t="s">
        <v>5519</v>
      </c>
      <c r="E5680" s="10" t="str">
        <f>"644020240514172031179682"</f>
        <v>644020240514172031179682</v>
      </c>
      <c r="F5680" s="9"/>
    </row>
    <row r="5681" s="2" customFormat="1" ht="30" customHeight="1" spans="1:6">
      <c r="A5681" s="9">
        <v>5678</v>
      </c>
      <c r="B5681" s="10" t="s">
        <v>4840</v>
      </c>
      <c r="C5681" s="10" t="s">
        <v>4841</v>
      </c>
      <c r="D5681" s="10" t="s">
        <v>5520</v>
      </c>
      <c r="E5681" s="10" t="str">
        <f>"644020240514171050179647"</f>
        <v>644020240514171050179647</v>
      </c>
      <c r="F5681" s="9"/>
    </row>
    <row r="5682" s="2" customFormat="1" ht="30" customHeight="1" spans="1:6">
      <c r="A5682" s="9">
        <v>5679</v>
      </c>
      <c r="B5682" s="10" t="s">
        <v>4840</v>
      </c>
      <c r="C5682" s="10" t="s">
        <v>4841</v>
      </c>
      <c r="D5682" s="10" t="s">
        <v>5521</v>
      </c>
      <c r="E5682" s="10" t="str">
        <f>"644020240514165327179583"</f>
        <v>644020240514165327179583</v>
      </c>
      <c r="F5682" s="9"/>
    </row>
    <row r="5683" s="2" customFormat="1" ht="30" customHeight="1" spans="1:6">
      <c r="A5683" s="9">
        <v>5680</v>
      </c>
      <c r="B5683" s="10" t="s">
        <v>4840</v>
      </c>
      <c r="C5683" s="10" t="s">
        <v>4841</v>
      </c>
      <c r="D5683" s="10" t="s">
        <v>5522</v>
      </c>
      <c r="E5683" s="10" t="str">
        <f>"644020240514090404177983"</f>
        <v>644020240514090404177983</v>
      </c>
      <c r="F5683" s="9"/>
    </row>
    <row r="5684" s="2" customFormat="1" ht="30" customHeight="1" spans="1:6">
      <c r="A5684" s="9">
        <v>5681</v>
      </c>
      <c r="B5684" s="10" t="s">
        <v>4840</v>
      </c>
      <c r="C5684" s="10" t="s">
        <v>4841</v>
      </c>
      <c r="D5684" s="10" t="s">
        <v>5523</v>
      </c>
      <c r="E5684" s="10" t="str">
        <f>"644020240514170454179625"</f>
        <v>644020240514170454179625</v>
      </c>
      <c r="F5684" s="9"/>
    </row>
    <row r="5685" s="2" customFormat="1" ht="30" customHeight="1" spans="1:6">
      <c r="A5685" s="9">
        <v>5682</v>
      </c>
      <c r="B5685" s="10" t="s">
        <v>4840</v>
      </c>
      <c r="C5685" s="10" t="s">
        <v>4841</v>
      </c>
      <c r="D5685" s="10" t="s">
        <v>5524</v>
      </c>
      <c r="E5685" s="10" t="str">
        <f>"644020240513195802176719"</f>
        <v>644020240513195802176719</v>
      </c>
      <c r="F5685" s="9"/>
    </row>
    <row r="5686" s="2" customFormat="1" ht="30" customHeight="1" spans="1:6">
      <c r="A5686" s="9">
        <v>5683</v>
      </c>
      <c r="B5686" s="10" t="s">
        <v>4840</v>
      </c>
      <c r="C5686" s="10" t="s">
        <v>4841</v>
      </c>
      <c r="D5686" s="10" t="s">
        <v>5525</v>
      </c>
      <c r="E5686" s="10" t="str">
        <f>"644020240514140315179080"</f>
        <v>644020240514140315179080</v>
      </c>
      <c r="F5686" s="9"/>
    </row>
    <row r="5687" s="2" customFormat="1" ht="30" customHeight="1" spans="1:6">
      <c r="A5687" s="9">
        <v>5684</v>
      </c>
      <c r="B5687" s="10" t="s">
        <v>4840</v>
      </c>
      <c r="C5687" s="10" t="s">
        <v>4841</v>
      </c>
      <c r="D5687" s="10" t="s">
        <v>5526</v>
      </c>
      <c r="E5687" s="10" t="str">
        <f>"644020240514175534179763"</f>
        <v>644020240514175534179763</v>
      </c>
      <c r="F5687" s="9"/>
    </row>
    <row r="5688" s="2" customFormat="1" ht="30" customHeight="1" spans="1:6">
      <c r="A5688" s="9">
        <v>5685</v>
      </c>
      <c r="B5688" s="10" t="s">
        <v>4840</v>
      </c>
      <c r="C5688" s="10" t="s">
        <v>4841</v>
      </c>
      <c r="D5688" s="10" t="s">
        <v>5527</v>
      </c>
      <c r="E5688" s="10" t="str">
        <f>"644020240514174239179738"</f>
        <v>644020240514174239179738</v>
      </c>
      <c r="F5688" s="9"/>
    </row>
    <row r="5689" s="2" customFormat="1" ht="30" customHeight="1" spans="1:6">
      <c r="A5689" s="9">
        <v>5686</v>
      </c>
      <c r="B5689" s="10" t="s">
        <v>4840</v>
      </c>
      <c r="C5689" s="10" t="s">
        <v>4841</v>
      </c>
      <c r="D5689" s="10" t="s">
        <v>5528</v>
      </c>
      <c r="E5689" s="10" t="str">
        <f>"644020240514175252179758"</f>
        <v>644020240514175252179758</v>
      </c>
      <c r="F5689" s="9"/>
    </row>
    <row r="5690" s="2" customFormat="1" ht="30" customHeight="1" spans="1:6">
      <c r="A5690" s="9">
        <v>5687</v>
      </c>
      <c r="B5690" s="10" t="s">
        <v>4840</v>
      </c>
      <c r="C5690" s="10" t="s">
        <v>4841</v>
      </c>
      <c r="D5690" s="10" t="s">
        <v>5529</v>
      </c>
      <c r="E5690" s="10" t="str">
        <f>"644020240514174722179748"</f>
        <v>644020240514174722179748</v>
      </c>
      <c r="F5690" s="9"/>
    </row>
    <row r="5691" s="2" customFormat="1" ht="30" customHeight="1" spans="1:6">
      <c r="A5691" s="9">
        <v>5688</v>
      </c>
      <c r="B5691" s="10" t="s">
        <v>4840</v>
      </c>
      <c r="C5691" s="10" t="s">
        <v>4841</v>
      </c>
      <c r="D5691" s="10" t="s">
        <v>5530</v>
      </c>
      <c r="E5691" s="10" t="str">
        <f>"644020240514175443179762"</f>
        <v>644020240514175443179762</v>
      </c>
      <c r="F5691" s="9"/>
    </row>
    <row r="5692" s="2" customFormat="1" ht="30" customHeight="1" spans="1:6">
      <c r="A5692" s="9">
        <v>5689</v>
      </c>
      <c r="B5692" s="10" t="s">
        <v>4840</v>
      </c>
      <c r="C5692" s="10" t="s">
        <v>4841</v>
      </c>
      <c r="D5692" s="10" t="s">
        <v>5531</v>
      </c>
      <c r="E5692" s="10" t="str">
        <f>"644020240514175910179774"</f>
        <v>644020240514175910179774</v>
      </c>
      <c r="F5692" s="9"/>
    </row>
    <row r="5693" s="2" customFormat="1" ht="30" customHeight="1" spans="1:6">
      <c r="A5693" s="9">
        <v>5690</v>
      </c>
      <c r="B5693" s="10" t="s">
        <v>4840</v>
      </c>
      <c r="C5693" s="10" t="s">
        <v>4841</v>
      </c>
      <c r="D5693" s="10" t="s">
        <v>5532</v>
      </c>
      <c r="E5693" s="10" t="str">
        <f>"644020240514112825178714"</f>
        <v>644020240514112825178714</v>
      </c>
      <c r="F5693" s="9"/>
    </row>
    <row r="5694" s="2" customFormat="1" ht="30" customHeight="1" spans="1:6">
      <c r="A5694" s="9">
        <v>5691</v>
      </c>
      <c r="B5694" s="10" t="s">
        <v>4840</v>
      </c>
      <c r="C5694" s="10" t="s">
        <v>4841</v>
      </c>
      <c r="D5694" s="10" t="s">
        <v>5533</v>
      </c>
      <c r="E5694" s="10" t="str">
        <f>"644020240513111800173863"</f>
        <v>644020240513111800173863</v>
      </c>
      <c r="F5694" s="9"/>
    </row>
    <row r="5695" s="2" customFormat="1" ht="30" customHeight="1" spans="1:6">
      <c r="A5695" s="9">
        <v>5692</v>
      </c>
      <c r="B5695" s="10" t="s">
        <v>4840</v>
      </c>
      <c r="C5695" s="10" t="s">
        <v>4841</v>
      </c>
      <c r="D5695" s="10" t="s">
        <v>5534</v>
      </c>
      <c r="E5695" s="10" t="str">
        <f>"644020240514174806179750"</f>
        <v>644020240514174806179750</v>
      </c>
      <c r="F5695" s="9"/>
    </row>
    <row r="5696" s="2" customFormat="1" ht="30" customHeight="1" spans="1:6">
      <c r="A5696" s="9">
        <v>5693</v>
      </c>
      <c r="B5696" s="10" t="s">
        <v>4840</v>
      </c>
      <c r="C5696" s="10" t="s">
        <v>4841</v>
      </c>
      <c r="D5696" s="10" t="s">
        <v>5535</v>
      </c>
      <c r="E5696" s="10" t="str">
        <f>"644020240514181902179811"</f>
        <v>644020240514181902179811</v>
      </c>
      <c r="F5696" s="9"/>
    </row>
    <row r="5697" s="2" customFormat="1" ht="30" customHeight="1" spans="1:6">
      <c r="A5697" s="9">
        <v>5694</v>
      </c>
      <c r="B5697" s="10" t="s">
        <v>4840</v>
      </c>
      <c r="C5697" s="10" t="s">
        <v>4841</v>
      </c>
      <c r="D5697" s="10" t="s">
        <v>5536</v>
      </c>
      <c r="E5697" s="10" t="str">
        <f>"644020240514182605179825"</f>
        <v>644020240514182605179825</v>
      </c>
      <c r="F5697" s="9"/>
    </row>
    <row r="5698" s="2" customFormat="1" ht="30" customHeight="1" spans="1:6">
      <c r="A5698" s="9">
        <v>5695</v>
      </c>
      <c r="B5698" s="10" t="s">
        <v>4840</v>
      </c>
      <c r="C5698" s="10" t="s">
        <v>4841</v>
      </c>
      <c r="D5698" s="10" t="s">
        <v>5537</v>
      </c>
      <c r="E5698" s="10" t="str">
        <f>"644020240514182319179817"</f>
        <v>644020240514182319179817</v>
      </c>
      <c r="F5698" s="9"/>
    </row>
    <row r="5699" s="2" customFormat="1" ht="30" customHeight="1" spans="1:6">
      <c r="A5699" s="9">
        <v>5696</v>
      </c>
      <c r="B5699" s="10" t="s">
        <v>4840</v>
      </c>
      <c r="C5699" s="10" t="s">
        <v>4841</v>
      </c>
      <c r="D5699" s="10" t="s">
        <v>5538</v>
      </c>
      <c r="E5699" s="10" t="str">
        <f>"644020240514173601179724"</f>
        <v>644020240514173601179724</v>
      </c>
      <c r="F5699" s="9"/>
    </row>
    <row r="5700" s="2" customFormat="1" ht="30" customHeight="1" spans="1:6">
      <c r="A5700" s="9">
        <v>5697</v>
      </c>
      <c r="B5700" s="10" t="s">
        <v>4840</v>
      </c>
      <c r="C5700" s="10" t="s">
        <v>4841</v>
      </c>
      <c r="D5700" s="10" t="s">
        <v>5539</v>
      </c>
      <c r="E5700" s="10" t="str">
        <f>"644020240513214258177133"</f>
        <v>644020240513214258177133</v>
      </c>
      <c r="F5700" s="9"/>
    </row>
    <row r="5701" s="2" customFormat="1" ht="30" customHeight="1" spans="1:6">
      <c r="A5701" s="9">
        <v>5698</v>
      </c>
      <c r="B5701" s="10" t="s">
        <v>4840</v>
      </c>
      <c r="C5701" s="10" t="s">
        <v>4841</v>
      </c>
      <c r="D5701" s="10" t="s">
        <v>5540</v>
      </c>
      <c r="E5701" s="10" t="str">
        <f>"644020240514184949179869"</f>
        <v>644020240514184949179869</v>
      </c>
      <c r="F5701" s="9"/>
    </row>
    <row r="5702" s="2" customFormat="1" ht="30" customHeight="1" spans="1:6">
      <c r="A5702" s="9">
        <v>5699</v>
      </c>
      <c r="B5702" s="10" t="s">
        <v>4840</v>
      </c>
      <c r="C5702" s="10" t="s">
        <v>4841</v>
      </c>
      <c r="D5702" s="10" t="s">
        <v>5541</v>
      </c>
      <c r="E5702" s="10" t="str">
        <f>"644020240514182029179814"</f>
        <v>644020240514182029179814</v>
      </c>
      <c r="F5702" s="9"/>
    </row>
    <row r="5703" s="2" customFormat="1" ht="30" customHeight="1" spans="1:6">
      <c r="A5703" s="9">
        <v>5700</v>
      </c>
      <c r="B5703" s="10" t="s">
        <v>4840</v>
      </c>
      <c r="C5703" s="10" t="s">
        <v>4841</v>
      </c>
      <c r="D5703" s="10" t="s">
        <v>5542</v>
      </c>
      <c r="E5703" s="10" t="str">
        <f>"644020240513224419177423"</f>
        <v>644020240513224419177423</v>
      </c>
      <c r="F5703" s="9"/>
    </row>
    <row r="5704" s="2" customFormat="1" ht="30" customHeight="1" spans="1:6">
      <c r="A5704" s="9">
        <v>5701</v>
      </c>
      <c r="B5704" s="10" t="s">
        <v>4840</v>
      </c>
      <c r="C5704" s="10" t="s">
        <v>4841</v>
      </c>
      <c r="D5704" s="10" t="s">
        <v>5543</v>
      </c>
      <c r="E5704" s="10" t="str">
        <f>"644020240513201017176761"</f>
        <v>644020240513201017176761</v>
      </c>
      <c r="F5704" s="9"/>
    </row>
    <row r="5705" s="2" customFormat="1" ht="30" customHeight="1" spans="1:6">
      <c r="A5705" s="9">
        <v>5702</v>
      </c>
      <c r="B5705" s="10" t="s">
        <v>4840</v>
      </c>
      <c r="C5705" s="10" t="s">
        <v>4841</v>
      </c>
      <c r="D5705" s="10" t="s">
        <v>5544</v>
      </c>
      <c r="E5705" s="10" t="str">
        <f>"644020240514185242179874"</f>
        <v>644020240514185242179874</v>
      </c>
      <c r="F5705" s="9"/>
    </row>
    <row r="5706" s="2" customFormat="1" ht="30" customHeight="1" spans="1:6">
      <c r="A5706" s="9">
        <v>5703</v>
      </c>
      <c r="B5706" s="10" t="s">
        <v>4840</v>
      </c>
      <c r="C5706" s="10" t="s">
        <v>4841</v>
      </c>
      <c r="D5706" s="10" t="s">
        <v>5545</v>
      </c>
      <c r="E5706" s="10" t="str">
        <f>"644020240513215541177200"</f>
        <v>644020240513215541177200</v>
      </c>
      <c r="F5706" s="9"/>
    </row>
    <row r="5707" s="2" customFormat="1" ht="30" customHeight="1" spans="1:6">
      <c r="A5707" s="9">
        <v>5704</v>
      </c>
      <c r="B5707" s="10" t="s">
        <v>4840</v>
      </c>
      <c r="C5707" s="10" t="s">
        <v>4841</v>
      </c>
      <c r="D5707" s="10" t="s">
        <v>5546</v>
      </c>
      <c r="E5707" s="10" t="str">
        <f>"644020240514190440179897"</f>
        <v>644020240514190440179897</v>
      </c>
      <c r="F5707" s="9"/>
    </row>
    <row r="5708" s="2" customFormat="1" ht="30" customHeight="1" spans="1:6">
      <c r="A5708" s="9">
        <v>5705</v>
      </c>
      <c r="B5708" s="10" t="s">
        <v>4840</v>
      </c>
      <c r="C5708" s="10" t="s">
        <v>4841</v>
      </c>
      <c r="D5708" s="10" t="s">
        <v>5547</v>
      </c>
      <c r="E5708" s="10" t="str">
        <f>"644020240514190349179896"</f>
        <v>644020240514190349179896</v>
      </c>
      <c r="F5708" s="9"/>
    </row>
    <row r="5709" s="2" customFormat="1" ht="30" customHeight="1" spans="1:6">
      <c r="A5709" s="9">
        <v>5706</v>
      </c>
      <c r="B5709" s="10" t="s">
        <v>4840</v>
      </c>
      <c r="C5709" s="10" t="s">
        <v>4841</v>
      </c>
      <c r="D5709" s="10" t="s">
        <v>5548</v>
      </c>
      <c r="E5709" s="10" t="str">
        <f>"644020240514191024179908"</f>
        <v>644020240514191024179908</v>
      </c>
      <c r="F5709" s="9"/>
    </row>
    <row r="5710" s="2" customFormat="1" ht="30" customHeight="1" spans="1:6">
      <c r="A5710" s="9">
        <v>5707</v>
      </c>
      <c r="B5710" s="10" t="s">
        <v>4840</v>
      </c>
      <c r="C5710" s="10" t="s">
        <v>4841</v>
      </c>
      <c r="D5710" s="10" t="s">
        <v>5549</v>
      </c>
      <c r="E5710" s="10" t="str">
        <f>"644020240514190908179905"</f>
        <v>644020240514190908179905</v>
      </c>
      <c r="F5710" s="9"/>
    </row>
    <row r="5711" s="2" customFormat="1" ht="30" customHeight="1" spans="1:6">
      <c r="A5711" s="9">
        <v>5708</v>
      </c>
      <c r="B5711" s="10" t="s">
        <v>4840</v>
      </c>
      <c r="C5711" s="10" t="s">
        <v>4841</v>
      </c>
      <c r="D5711" s="10" t="s">
        <v>5550</v>
      </c>
      <c r="E5711" s="10" t="str">
        <f>"644020240514193414179932"</f>
        <v>644020240514193414179932</v>
      </c>
      <c r="F5711" s="11"/>
    </row>
    <row r="5712" s="2" customFormat="1" ht="30" customHeight="1" spans="1:6">
      <c r="A5712" s="9">
        <v>5709</v>
      </c>
      <c r="B5712" s="10" t="s">
        <v>4840</v>
      </c>
      <c r="C5712" s="10" t="s">
        <v>4841</v>
      </c>
      <c r="D5712" s="10" t="s">
        <v>5551</v>
      </c>
      <c r="E5712" s="10" t="str">
        <f>"644020240514194052179950"</f>
        <v>644020240514194052179950</v>
      </c>
      <c r="F5712" s="9"/>
    </row>
    <row r="5713" s="2" customFormat="1" ht="30" customHeight="1" spans="1:6">
      <c r="A5713" s="9">
        <v>5710</v>
      </c>
      <c r="B5713" s="10" t="s">
        <v>4840</v>
      </c>
      <c r="C5713" s="10" t="s">
        <v>4841</v>
      </c>
      <c r="D5713" s="10" t="s">
        <v>5552</v>
      </c>
      <c r="E5713" s="10" t="str">
        <f>"644020240514185944179888"</f>
        <v>644020240514185944179888</v>
      </c>
      <c r="F5713" s="9"/>
    </row>
    <row r="5714" s="2" customFormat="1" ht="30" customHeight="1" spans="1:6">
      <c r="A5714" s="9">
        <v>5711</v>
      </c>
      <c r="B5714" s="10" t="s">
        <v>4840</v>
      </c>
      <c r="C5714" s="10" t="s">
        <v>4841</v>
      </c>
      <c r="D5714" s="10" t="s">
        <v>5553</v>
      </c>
      <c r="E5714" s="10" t="str">
        <f>"644020240514190605179900"</f>
        <v>644020240514190605179900</v>
      </c>
      <c r="F5714" s="9"/>
    </row>
    <row r="5715" s="2" customFormat="1" ht="30" customHeight="1" spans="1:6">
      <c r="A5715" s="9">
        <v>5712</v>
      </c>
      <c r="B5715" s="10" t="s">
        <v>4840</v>
      </c>
      <c r="C5715" s="10" t="s">
        <v>4841</v>
      </c>
      <c r="D5715" s="10" t="s">
        <v>5554</v>
      </c>
      <c r="E5715" s="10" t="str">
        <f>"644020240514162224179472"</f>
        <v>644020240514162224179472</v>
      </c>
      <c r="F5715" s="9"/>
    </row>
    <row r="5716" s="2" customFormat="1" ht="30" customHeight="1" spans="1:6">
      <c r="A5716" s="9">
        <v>5713</v>
      </c>
      <c r="B5716" s="10" t="s">
        <v>4840</v>
      </c>
      <c r="C5716" s="10" t="s">
        <v>4841</v>
      </c>
      <c r="D5716" s="10" t="s">
        <v>5555</v>
      </c>
      <c r="E5716" s="10" t="str">
        <f>"644020240514193432179933"</f>
        <v>644020240514193432179933</v>
      </c>
      <c r="F5716" s="9"/>
    </row>
    <row r="5717" s="2" customFormat="1" ht="30" customHeight="1" spans="1:6">
      <c r="A5717" s="9">
        <v>5714</v>
      </c>
      <c r="B5717" s="10" t="s">
        <v>4840</v>
      </c>
      <c r="C5717" s="10" t="s">
        <v>4841</v>
      </c>
      <c r="D5717" s="10" t="s">
        <v>5556</v>
      </c>
      <c r="E5717" s="10" t="str">
        <f>"644020240514193654179941"</f>
        <v>644020240514193654179941</v>
      </c>
      <c r="F5717" s="9"/>
    </row>
    <row r="5718" s="2" customFormat="1" ht="30" customHeight="1" spans="1:6">
      <c r="A5718" s="9">
        <v>5715</v>
      </c>
      <c r="B5718" s="10" t="s">
        <v>4840</v>
      </c>
      <c r="C5718" s="10" t="s">
        <v>4841</v>
      </c>
      <c r="D5718" s="10" t="s">
        <v>5557</v>
      </c>
      <c r="E5718" s="10" t="str">
        <f>"644020240514181337179801"</f>
        <v>644020240514181337179801</v>
      </c>
      <c r="F5718" s="9"/>
    </row>
    <row r="5719" s="2" customFormat="1" ht="30" customHeight="1" spans="1:6">
      <c r="A5719" s="9">
        <v>5716</v>
      </c>
      <c r="B5719" s="10" t="s">
        <v>4840</v>
      </c>
      <c r="C5719" s="10" t="s">
        <v>4841</v>
      </c>
      <c r="D5719" s="10" t="s">
        <v>5558</v>
      </c>
      <c r="E5719" s="10" t="str">
        <f>"644020240512095514168353"</f>
        <v>644020240512095514168353</v>
      </c>
      <c r="F5719" s="9"/>
    </row>
    <row r="5720" s="2" customFormat="1" ht="30" customHeight="1" spans="1:6">
      <c r="A5720" s="9">
        <v>5717</v>
      </c>
      <c r="B5720" s="10" t="s">
        <v>4840</v>
      </c>
      <c r="C5720" s="10" t="s">
        <v>4841</v>
      </c>
      <c r="D5720" s="10" t="s">
        <v>5559</v>
      </c>
      <c r="E5720" s="10" t="str">
        <f>"644020240514193620179940"</f>
        <v>644020240514193620179940</v>
      </c>
      <c r="F5720" s="9"/>
    </row>
    <row r="5721" s="2" customFormat="1" ht="30" customHeight="1" spans="1:6">
      <c r="A5721" s="9">
        <v>5718</v>
      </c>
      <c r="B5721" s="10" t="s">
        <v>4840</v>
      </c>
      <c r="C5721" s="10" t="s">
        <v>4841</v>
      </c>
      <c r="D5721" s="10" t="s">
        <v>5560</v>
      </c>
      <c r="E5721" s="10" t="str">
        <f>"644020240514160057179401"</f>
        <v>644020240514160057179401</v>
      </c>
      <c r="F5721" s="9"/>
    </row>
    <row r="5722" s="2" customFormat="1" ht="30" customHeight="1" spans="1:6">
      <c r="A5722" s="9">
        <v>5719</v>
      </c>
      <c r="B5722" s="10" t="s">
        <v>4840</v>
      </c>
      <c r="C5722" s="10" t="s">
        <v>4841</v>
      </c>
      <c r="D5722" s="10" t="s">
        <v>5561</v>
      </c>
      <c r="E5722" s="10" t="str">
        <f>"644020240514200254179974"</f>
        <v>644020240514200254179974</v>
      </c>
      <c r="F5722" s="9"/>
    </row>
    <row r="5723" s="2" customFormat="1" ht="30" customHeight="1" spans="1:6">
      <c r="A5723" s="9">
        <v>5720</v>
      </c>
      <c r="B5723" s="10" t="s">
        <v>4840</v>
      </c>
      <c r="C5723" s="10" t="s">
        <v>4841</v>
      </c>
      <c r="D5723" s="10" t="s">
        <v>5562</v>
      </c>
      <c r="E5723" s="10" t="str">
        <f>"644020240514172539179696"</f>
        <v>644020240514172539179696</v>
      </c>
      <c r="F5723" s="9"/>
    </row>
    <row r="5724" s="2" customFormat="1" ht="30" customHeight="1" spans="1:6">
      <c r="A5724" s="9">
        <v>5721</v>
      </c>
      <c r="B5724" s="10" t="s">
        <v>4840</v>
      </c>
      <c r="C5724" s="10" t="s">
        <v>4841</v>
      </c>
      <c r="D5724" s="10" t="s">
        <v>5563</v>
      </c>
      <c r="E5724" s="10" t="str">
        <f>"644020240512194725170659"</f>
        <v>644020240512194725170659</v>
      </c>
      <c r="F5724" s="9"/>
    </row>
    <row r="5725" s="2" customFormat="1" ht="30" customHeight="1" spans="1:6">
      <c r="A5725" s="9">
        <v>5722</v>
      </c>
      <c r="B5725" s="10" t="s">
        <v>4840</v>
      </c>
      <c r="C5725" s="10" t="s">
        <v>4841</v>
      </c>
      <c r="D5725" s="10" t="s">
        <v>5564</v>
      </c>
      <c r="E5725" s="10" t="str">
        <f>"644020240512091544168177"</f>
        <v>644020240512091544168177</v>
      </c>
      <c r="F5725" s="9"/>
    </row>
    <row r="5726" s="2" customFormat="1" ht="30" customHeight="1" spans="1:6">
      <c r="A5726" s="9">
        <v>5723</v>
      </c>
      <c r="B5726" s="10" t="s">
        <v>4840</v>
      </c>
      <c r="C5726" s="10" t="s">
        <v>4841</v>
      </c>
      <c r="D5726" s="10" t="s">
        <v>5565</v>
      </c>
      <c r="E5726" s="10" t="str">
        <f>"644020240513184958176477"</f>
        <v>644020240513184958176477</v>
      </c>
      <c r="F5726" s="9"/>
    </row>
    <row r="5727" s="2" customFormat="1" ht="30" customHeight="1" spans="1:6">
      <c r="A5727" s="9">
        <v>5724</v>
      </c>
      <c r="B5727" s="10" t="s">
        <v>4840</v>
      </c>
      <c r="C5727" s="10" t="s">
        <v>4841</v>
      </c>
      <c r="D5727" s="10" t="s">
        <v>5566</v>
      </c>
      <c r="E5727" s="10" t="str">
        <f>"644020240514200230179970"</f>
        <v>644020240514200230179970</v>
      </c>
      <c r="F5727" s="9"/>
    </row>
    <row r="5728" s="2" customFormat="1" ht="30" customHeight="1" spans="1:6">
      <c r="A5728" s="9">
        <v>5725</v>
      </c>
      <c r="B5728" s="10" t="s">
        <v>4840</v>
      </c>
      <c r="C5728" s="10" t="s">
        <v>4841</v>
      </c>
      <c r="D5728" s="10" t="s">
        <v>5567</v>
      </c>
      <c r="E5728" s="10" t="str">
        <f>"644020240514200957179996"</f>
        <v>644020240514200957179996</v>
      </c>
      <c r="F5728" s="9"/>
    </row>
    <row r="5729" s="2" customFormat="1" ht="30" customHeight="1" spans="1:6">
      <c r="A5729" s="9">
        <v>5726</v>
      </c>
      <c r="B5729" s="10" t="s">
        <v>4840</v>
      </c>
      <c r="C5729" s="10" t="s">
        <v>4841</v>
      </c>
      <c r="D5729" s="10" t="s">
        <v>5568</v>
      </c>
      <c r="E5729" s="10" t="str">
        <f>"644020240514200607179990"</f>
        <v>644020240514200607179990</v>
      </c>
      <c r="F5729" s="9"/>
    </row>
    <row r="5730" s="2" customFormat="1" ht="30" customHeight="1" spans="1:6">
      <c r="A5730" s="9">
        <v>5727</v>
      </c>
      <c r="B5730" s="10" t="s">
        <v>4840</v>
      </c>
      <c r="C5730" s="10" t="s">
        <v>4841</v>
      </c>
      <c r="D5730" s="10" t="s">
        <v>3380</v>
      </c>
      <c r="E5730" s="10" t="str">
        <f>"644020240514201439180014"</f>
        <v>644020240514201439180014</v>
      </c>
      <c r="F5730" s="9"/>
    </row>
    <row r="5731" s="2" customFormat="1" ht="30" customHeight="1" spans="1:6">
      <c r="A5731" s="9">
        <v>5728</v>
      </c>
      <c r="B5731" s="10" t="s">
        <v>4840</v>
      </c>
      <c r="C5731" s="10" t="s">
        <v>4841</v>
      </c>
      <c r="D5731" s="10" t="s">
        <v>5569</v>
      </c>
      <c r="E5731" s="10" t="str">
        <f>"644020240514103344178456"</f>
        <v>644020240514103344178456</v>
      </c>
      <c r="F5731" s="9"/>
    </row>
    <row r="5732" s="2" customFormat="1" ht="30" customHeight="1" spans="1:6">
      <c r="A5732" s="9">
        <v>5729</v>
      </c>
      <c r="B5732" s="10" t="s">
        <v>4840</v>
      </c>
      <c r="C5732" s="10" t="s">
        <v>4841</v>
      </c>
      <c r="D5732" s="10" t="s">
        <v>5570</v>
      </c>
      <c r="E5732" s="10" t="str">
        <f>"644020240514185404179878"</f>
        <v>644020240514185404179878</v>
      </c>
      <c r="F5732" s="9"/>
    </row>
    <row r="5733" s="2" customFormat="1" ht="30" customHeight="1" spans="1:6">
      <c r="A5733" s="9">
        <v>5730</v>
      </c>
      <c r="B5733" s="10" t="s">
        <v>4840</v>
      </c>
      <c r="C5733" s="10" t="s">
        <v>4841</v>
      </c>
      <c r="D5733" s="10" t="s">
        <v>5571</v>
      </c>
      <c r="E5733" s="10" t="str">
        <f>"644020240513184256176455"</f>
        <v>644020240513184256176455</v>
      </c>
      <c r="F5733" s="9"/>
    </row>
    <row r="5734" s="2" customFormat="1" ht="30" customHeight="1" spans="1:6">
      <c r="A5734" s="9">
        <v>5731</v>
      </c>
      <c r="B5734" s="10" t="s">
        <v>4840</v>
      </c>
      <c r="C5734" s="10" t="s">
        <v>4841</v>
      </c>
      <c r="D5734" s="10" t="s">
        <v>5572</v>
      </c>
      <c r="E5734" s="10" t="str">
        <f>"644020240514200449179984"</f>
        <v>644020240514200449179984</v>
      </c>
      <c r="F5734" s="9"/>
    </row>
    <row r="5735" s="2" customFormat="1" ht="30" customHeight="1" spans="1:6">
      <c r="A5735" s="9">
        <v>5732</v>
      </c>
      <c r="B5735" s="10" t="s">
        <v>4840</v>
      </c>
      <c r="C5735" s="10" t="s">
        <v>4841</v>
      </c>
      <c r="D5735" s="10" t="s">
        <v>5573</v>
      </c>
      <c r="E5735" s="10" t="str">
        <f>"644020240513114037174035"</f>
        <v>644020240513114037174035</v>
      </c>
      <c r="F5735" s="9"/>
    </row>
    <row r="5736" s="2" customFormat="1" ht="30" customHeight="1" spans="1:6">
      <c r="A5736" s="9">
        <v>5733</v>
      </c>
      <c r="B5736" s="10" t="s">
        <v>4840</v>
      </c>
      <c r="C5736" s="10" t="s">
        <v>4841</v>
      </c>
      <c r="D5736" s="10" t="s">
        <v>5574</v>
      </c>
      <c r="E5736" s="10" t="str">
        <f>"644020240512111318168791"</f>
        <v>644020240512111318168791</v>
      </c>
      <c r="F5736" s="9"/>
    </row>
    <row r="5737" s="2" customFormat="1" ht="30" customHeight="1" spans="1:6">
      <c r="A5737" s="9">
        <v>5734</v>
      </c>
      <c r="B5737" s="10" t="s">
        <v>4840</v>
      </c>
      <c r="C5737" s="10" t="s">
        <v>4841</v>
      </c>
      <c r="D5737" s="10" t="s">
        <v>5575</v>
      </c>
      <c r="E5737" s="10" t="str">
        <f>"644020240512172659170200"</f>
        <v>644020240512172659170200</v>
      </c>
      <c r="F5737" s="9"/>
    </row>
    <row r="5738" s="2" customFormat="1" ht="30" customHeight="1" spans="1:6">
      <c r="A5738" s="9">
        <v>5735</v>
      </c>
      <c r="B5738" s="10" t="s">
        <v>4840</v>
      </c>
      <c r="C5738" s="10" t="s">
        <v>4841</v>
      </c>
      <c r="D5738" s="10" t="s">
        <v>1245</v>
      </c>
      <c r="E5738" s="10" t="str">
        <f>"644020240513093623172874"</f>
        <v>644020240513093623172874</v>
      </c>
      <c r="F5738" s="9"/>
    </row>
    <row r="5739" s="2" customFormat="1" ht="30" customHeight="1" spans="1:6">
      <c r="A5739" s="9">
        <v>5736</v>
      </c>
      <c r="B5739" s="10" t="s">
        <v>4840</v>
      </c>
      <c r="C5739" s="10" t="s">
        <v>4841</v>
      </c>
      <c r="D5739" s="10" t="s">
        <v>5576</v>
      </c>
      <c r="E5739" s="10" t="str">
        <f>"644020240513170536176123"</f>
        <v>644020240513170536176123</v>
      </c>
      <c r="F5739" s="9"/>
    </row>
    <row r="5740" s="2" customFormat="1" ht="30" customHeight="1" spans="1:6">
      <c r="A5740" s="9">
        <v>5737</v>
      </c>
      <c r="B5740" s="10" t="s">
        <v>4840</v>
      </c>
      <c r="C5740" s="10" t="s">
        <v>4841</v>
      </c>
      <c r="D5740" s="10" t="s">
        <v>5577</v>
      </c>
      <c r="E5740" s="10" t="str">
        <f>"644020240512102009168505"</f>
        <v>644020240512102009168505</v>
      </c>
      <c r="F5740" s="9"/>
    </row>
    <row r="5741" s="2" customFormat="1" ht="30" customHeight="1" spans="1:6">
      <c r="A5741" s="9">
        <v>5738</v>
      </c>
      <c r="B5741" s="10" t="s">
        <v>4840</v>
      </c>
      <c r="C5741" s="10" t="s">
        <v>4841</v>
      </c>
      <c r="D5741" s="10" t="s">
        <v>5578</v>
      </c>
      <c r="E5741" s="10" t="str">
        <f>"644020240514205643180099"</f>
        <v>644020240514205643180099</v>
      </c>
      <c r="F5741" s="9"/>
    </row>
    <row r="5742" s="2" customFormat="1" ht="30" customHeight="1" spans="1:6">
      <c r="A5742" s="9">
        <v>5739</v>
      </c>
      <c r="B5742" s="10" t="s">
        <v>4840</v>
      </c>
      <c r="C5742" s="10" t="s">
        <v>4841</v>
      </c>
      <c r="D5742" s="10" t="s">
        <v>5579</v>
      </c>
      <c r="E5742" s="10" t="str">
        <f>"644020240514153220179311"</f>
        <v>644020240514153220179311</v>
      </c>
      <c r="F5742" s="9"/>
    </row>
    <row r="5743" s="2" customFormat="1" ht="30" customHeight="1" spans="1:6">
      <c r="A5743" s="9">
        <v>5740</v>
      </c>
      <c r="B5743" s="10" t="s">
        <v>4840</v>
      </c>
      <c r="C5743" s="10" t="s">
        <v>4841</v>
      </c>
      <c r="D5743" s="10" t="s">
        <v>5580</v>
      </c>
      <c r="E5743" s="10" t="str">
        <f>"644020240514204342180058"</f>
        <v>644020240514204342180058</v>
      </c>
      <c r="F5743" s="9"/>
    </row>
    <row r="5744" s="2" customFormat="1" ht="30" customHeight="1" spans="1:6">
      <c r="A5744" s="9">
        <v>5741</v>
      </c>
      <c r="B5744" s="10" t="s">
        <v>4840</v>
      </c>
      <c r="C5744" s="10" t="s">
        <v>4841</v>
      </c>
      <c r="D5744" s="10" t="s">
        <v>5581</v>
      </c>
      <c r="E5744" s="10" t="str">
        <f>"644020240514211135180144"</f>
        <v>644020240514211135180144</v>
      </c>
      <c r="F5744" s="9"/>
    </row>
    <row r="5745" s="2" customFormat="1" ht="30" customHeight="1" spans="1:6">
      <c r="A5745" s="9">
        <v>5742</v>
      </c>
      <c r="B5745" s="10" t="s">
        <v>4840</v>
      </c>
      <c r="C5745" s="10" t="s">
        <v>4841</v>
      </c>
      <c r="D5745" s="10" t="s">
        <v>5582</v>
      </c>
      <c r="E5745" s="10" t="str">
        <f>"644020240513165628176076"</f>
        <v>644020240513165628176076</v>
      </c>
      <c r="F5745" s="9"/>
    </row>
    <row r="5746" s="2" customFormat="1" ht="30" customHeight="1" spans="1:6">
      <c r="A5746" s="9">
        <v>5743</v>
      </c>
      <c r="B5746" s="10" t="s">
        <v>4840</v>
      </c>
      <c r="C5746" s="10" t="s">
        <v>4841</v>
      </c>
      <c r="D5746" s="10" t="s">
        <v>5583</v>
      </c>
      <c r="E5746" s="10" t="str">
        <f>"644020240514211427180155"</f>
        <v>644020240514211427180155</v>
      </c>
      <c r="F5746" s="9"/>
    </row>
    <row r="5747" s="2" customFormat="1" ht="30" customHeight="1" spans="1:6">
      <c r="A5747" s="9">
        <v>5744</v>
      </c>
      <c r="B5747" s="10" t="s">
        <v>4840</v>
      </c>
      <c r="C5747" s="10" t="s">
        <v>4841</v>
      </c>
      <c r="D5747" s="10" t="s">
        <v>5584</v>
      </c>
      <c r="E5747" s="10" t="str">
        <f>"644020240514212121180174"</f>
        <v>644020240514212121180174</v>
      </c>
      <c r="F5747" s="9"/>
    </row>
    <row r="5748" s="2" customFormat="1" ht="30" customHeight="1" spans="1:6">
      <c r="A5748" s="9">
        <v>5745</v>
      </c>
      <c r="B5748" s="10" t="s">
        <v>4840</v>
      </c>
      <c r="C5748" s="10" t="s">
        <v>4841</v>
      </c>
      <c r="D5748" s="10" t="s">
        <v>5585</v>
      </c>
      <c r="E5748" s="10" t="str">
        <f>"644020240512102653168543"</f>
        <v>644020240512102653168543</v>
      </c>
      <c r="F5748" s="9"/>
    </row>
    <row r="5749" s="2" customFormat="1" ht="30" customHeight="1" spans="1:6">
      <c r="A5749" s="9">
        <v>5746</v>
      </c>
      <c r="B5749" s="10" t="s">
        <v>4840</v>
      </c>
      <c r="C5749" s="10" t="s">
        <v>4841</v>
      </c>
      <c r="D5749" s="10" t="s">
        <v>5586</v>
      </c>
      <c r="E5749" s="10" t="str">
        <f>"644020240514210743180131"</f>
        <v>644020240514210743180131</v>
      </c>
      <c r="F5749" s="9"/>
    </row>
    <row r="5750" s="2" customFormat="1" ht="30" customHeight="1" spans="1:6">
      <c r="A5750" s="9">
        <v>5747</v>
      </c>
      <c r="B5750" s="10" t="s">
        <v>4840</v>
      </c>
      <c r="C5750" s="10" t="s">
        <v>4841</v>
      </c>
      <c r="D5750" s="10" t="s">
        <v>5587</v>
      </c>
      <c r="E5750" s="10" t="str">
        <f>"644020240514205307180089"</f>
        <v>644020240514205307180089</v>
      </c>
      <c r="F5750" s="9"/>
    </row>
    <row r="5751" s="2" customFormat="1" ht="30" customHeight="1" spans="1:6">
      <c r="A5751" s="9">
        <v>5748</v>
      </c>
      <c r="B5751" s="10" t="s">
        <v>4840</v>
      </c>
      <c r="C5751" s="10" t="s">
        <v>4841</v>
      </c>
      <c r="D5751" s="10" t="s">
        <v>5588</v>
      </c>
      <c r="E5751" s="10" t="str">
        <f>"644020240514210955180137"</f>
        <v>644020240514210955180137</v>
      </c>
      <c r="F5751" s="9"/>
    </row>
    <row r="5752" s="2" customFormat="1" ht="30" customHeight="1" spans="1:6">
      <c r="A5752" s="9">
        <v>5749</v>
      </c>
      <c r="B5752" s="10" t="s">
        <v>4840</v>
      </c>
      <c r="C5752" s="10" t="s">
        <v>4841</v>
      </c>
      <c r="D5752" s="10" t="s">
        <v>5589</v>
      </c>
      <c r="E5752" s="10" t="str">
        <f>"644020240514211147180146"</f>
        <v>644020240514211147180146</v>
      </c>
      <c r="F5752" s="9"/>
    </row>
    <row r="5753" s="2" customFormat="1" ht="30" customHeight="1" spans="1:6">
      <c r="A5753" s="9">
        <v>5750</v>
      </c>
      <c r="B5753" s="10" t="s">
        <v>4840</v>
      </c>
      <c r="C5753" s="10" t="s">
        <v>4841</v>
      </c>
      <c r="D5753" s="10" t="s">
        <v>117</v>
      </c>
      <c r="E5753" s="10" t="str">
        <f>"644020240514200135179965"</f>
        <v>644020240514200135179965</v>
      </c>
      <c r="F5753" s="9"/>
    </row>
    <row r="5754" s="2" customFormat="1" ht="30" customHeight="1" spans="1:6">
      <c r="A5754" s="9">
        <v>5751</v>
      </c>
      <c r="B5754" s="10" t="s">
        <v>4840</v>
      </c>
      <c r="C5754" s="10" t="s">
        <v>4841</v>
      </c>
      <c r="D5754" s="10" t="s">
        <v>5590</v>
      </c>
      <c r="E5754" s="10" t="str">
        <f>"644020240514211706180167"</f>
        <v>644020240514211706180167</v>
      </c>
      <c r="F5754" s="9"/>
    </row>
    <row r="5755" s="2" customFormat="1" ht="30" customHeight="1" spans="1:6">
      <c r="A5755" s="9">
        <v>5752</v>
      </c>
      <c r="B5755" s="10" t="s">
        <v>4840</v>
      </c>
      <c r="C5755" s="10" t="s">
        <v>4841</v>
      </c>
      <c r="D5755" s="10" t="s">
        <v>5591</v>
      </c>
      <c r="E5755" s="10" t="str">
        <f>"644020240514194154179951"</f>
        <v>644020240514194154179951</v>
      </c>
      <c r="F5755" s="9"/>
    </row>
    <row r="5756" s="2" customFormat="1" ht="30" customHeight="1" spans="1:6">
      <c r="A5756" s="9">
        <v>5753</v>
      </c>
      <c r="B5756" s="10" t="s">
        <v>4840</v>
      </c>
      <c r="C5756" s="10" t="s">
        <v>4841</v>
      </c>
      <c r="D5756" s="10" t="s">
        <v>5592</v>
      </c>
      <c r="E5756" s="10" t="str">
        <f>"644020240514183452179836"</f>
        <v>644020240514183452179836</v>
      </c>
      <c r="F5756" s="9"/>
    </row>
    <row r="5757" s="2" customFormat="1" ht="30" customHeight="1" spans="1:6">
      <c r="A5757" s="9">
        <v>5754</v>
      </c>
      <c r="B5757" s="10" t="s">
        <v>4840</v>
      </c>
      <c r="C5757" s="10" t="s">
        <v>4841</v>
      </c>
      <c r="D5757" s="10" t="s">
        <v>5593</v>
      </c>
      <c r="E5757" s="10" t="str">
        <f>"644020240514213144180211"</f>
        <v>644020240514213144180211</v>
      </c>
      <c r="F5757" s="9"/>
    </row>
    <row r="5758" s="2" customFormat="1" ht="30" customHeight="1" spans="1:6">
      <c r="A5758" s="9">
        <v>5755</v>
      </c>
      <c r="B5758" s="10" t="s">
        <v>4840</v>
      </c>
      <c r="C5758" s="10" t="s">
        <v>4841</v>
      </c>
      <c r="D5758" s="10" t="s">
        <v>5594</v>
      </c>
      <c r="E5758" s="10" t="str">
        <f>"644020240514210943180135"</f>
        <v>644020240514210943180135</v>
      </c>
      <c r="F5758" s="9"/>
    </row>
    <row r="5759" s="2" customFormat="1" ht="30" customHeight="1" spans="1:6">
      <c r="A5759" s="9">
        <v>5756</v>
      </c>
      <c r="B5759" s="10" t="s">
        <v>4840</v>
      </c>
      <c r="C5759" s="10" t="s">
        <v>4841</v>
      </c>
      <c r="D5759" s="10" t="s">
        <v>5595</v>
      </c>
      <c r="E5759" s="10" t="str">
        <f>"644020240514212827180202"</f>
        <v>644020240514212827180202</v>
      </c>
      <c r="F5759" s="9"/>
    </row>
    <row r="5760" s="2" customFormat="1" ht="30" customHeight="1" spans="1:6">
      <c r="A5760" s="9">
        <v>5757</v>
      </c>
      <c r="B5760" s="10" t="s">
        <v>4840</v>
      </c>
      <c r="C5760" s="10" t="s">
        <v>4841</v>
      </c>
      <c r="D5760" s="10" t="s">
        <v>5596</v>
      </c>
      <c r="E5760" s="10" t="str">
        <f>"644020240514210133180114"</f>
        <v>644020240514210133180114</v>
      </c>
      <c r="F5760" s="9"/>
    </row>
    <row r="5761" s="2" customFormat="1" ht="30" customHeight="1" spans="1:6">
      <c r="A5761" s="9">
        <v>5758</v>
      </c>
      <c r="B5761" s="10" t="s">
        <v>4840</v>
      </c>
      <c r="C5761" s="10" t="s">
        <v>4841</v>
      </c>
      <c r="D5761" s="10" t="s">
        <v>5597</v>
      </c>
      <c r="E5761" s="10" t="str">
        <f>"644020240513230902177528"</f>
        <v>644020240513230902177528</v>
      </c>
      <c r="F5761" s="9"/>
    </row>
    <row r="5762" s="2" customFormat="1" ht="30" customHeight="1" spans="1:6">
      <c r="A5762" s="9">
        <v>5759</v>
      </c>
      <c r="B5762" s="10" t="s">
        <v>4840</v>
      </c>
      <c r="C5762" s="10" t="s">
        <v>4841</v>
      </c>
      <c r="D5762" s="10" t="s">
        <v>5598</v>
      </c>
      <c r="E5762" s="10" t="str">
        <f>"644020240514213410180215"</f>
        <v>644020240514213410180215</v>
      </c>
      <c r="F5762" s="9"/>
    </row>
    <row r="5763" s="2" customFormat="1" ht="30" customHeight="1" spans="1:6">
      <c r="A5763" s="9">
        <v>5760</v>
      </c>
      <c r="B5763" s="10" t="s">
        <v>4840</v>
      </c>
      <c r="C5763" s="10" t="s">
        <v>4841</v>
      </c>
      <c r="D5763" s="10" t="s">
        <v>5599</v>
      </c>
      <c r="E5763" s="10" t="str">
        <f>"644020240513100354173144"</f>
        <v>644020240513100354173144</v>
      </c>
      <c r="F5763" s="9"/>
    </row>
    <row r="5764" s="2" customFormat="1" ht="30" customHeight="1" spans="1:6">
      <c r="A5764" s="9">
        <v>5761</v>
      </c>
      <c r="B5764" s="10" t="s">
        <v>4840</v>
      </c>
      <c r="C5764" s="10" t="s">
        <v>4841</v>
      </c>
      <c r="D5764" s="10" t="s">
        <v>5600</v>
      </c>
      <c r="E5764" s="10" t="str">
        <f>"644020240513185529176493"</f>
        <v>644020240513185529176493</v>
      </c>
      <c r="F5764" s="9"/>
    </row>
    <row r="5765" s="2" customFormat="1" ht="30" customHeight="1" spans="1:6">
      <c r="A5765" s="9">
        <v>5762</v>
      </c>
      <c r="B5765" s="10" t="s">
        <v>4840</v>
      </c>
      <c r="C5765" s="10" t="s">
        <v>4841</v>
      </c>
      <c r="D5765" s="10" t="s">
        <v>5601</v>
      </c>
      <c r="E5765" s="10" t="str">
        <f>"644020240514214620180250"</f>
        <v>644020240514214620180250</v>
      </c>
      <c r="F5765" s="9"/>
    </row>
    <row r="5766" s="2" customFormat="1" ht="30" customHeight="1" spans="1:6">
      <c r="A5766" s="9">
        <v>5763</v>
      </c>
      <c r="B5766" s="10" t="s">
        <v>4840</v>
      </c>
      <c r="C5766" s="10" t="s">
        <v>4841</v>
      </c>
      <c r="D5766" s="10" t="s">
        <v>5602</v>
      </c>
      <c r="E5766" s="10" t="str">
        <f>"644020240514214441180241"</f>
        <v>644020240514214441180241</v>
      </c>
      <c r="F5766" s="9"/>
    </row>
    <row r="5767" s="2" customFormat="1" ht="30" customHeight="1" spans="1:6">
      <c r="A5767" s="9">
        <v>5764</v>
      </c>
      <c r="B5767" s="10" t="s">
        <v>4840</v>
      </c>
      <c r="C5767" s="10" t="s">
        <v>4841</v>
      </c>
      <c r="D5767" s="10" t="s">
        <v>5603</v>
      </c>
      <c r="E5767" s="10" t="str">
        <f>"644020240514215600180279"</f>
        <v>644020240514215600180279</v>
      </c>
      <c r="F5767" s="9"/>
    </row>
    <row r="5768" s="2" customFormat="1" ht="30" customHeight="1" spans="1:6">
      <c r="A5768" s="9">
        <v>5765</v>
      </c>
      <c r="B5768" s="10" t="s">
        <v>4840</v>
      </c>
      <c r="C5768" s="10" t="s">
        <v>4841</v>
      </c>
      <c r="D5768" s="10" t="s">
        <v>5604</v>
      </c>
      <c r="E5768" s="10" t="str">
        <f>"644020240514122505178887"</f>
        <v>644020240514122505178887</v>
      </c>
      <c r="F5768" s="9"/>
    </row>
    <row r="5769" s="2" customFormat="1" ht="30" customHeight="1" spans="1:6">
      <c r="A5769" s="9">
        <v>5766</v>
      </c>
      <c r="B5769" s="10" t="s">
        <v>4840</v>
      </c>
      <c r="C5769" s="10" t="s">
        <v>4841</v>
      </c>
      <c r="D5769" s="10" t="s">
        <v>5605</v>
      </c>
      <c r="E5769" s="10" t="str">
        <f>"644020240514215244180271"</f>
        <v>644020240514215244180271</v>
      </c>
      <c r="F5769" s="9"/>
    </row>
    <row r="5770" s="2" customFormat="1" ht="30" customHeight="1" spans="1:6">
      <c r="A5770" s="9">
        <v>5767</v>
      </c>
      <c r="B5770" s="10" t="s">
        <v>4840</v>
      </c>
      <c r="C5770" s="10" t="s">
        <v>4841</v>
      </c>
      <c r="D5770" s="10" t="s">
        <v>5606</v>
      </c>
      <c r="E5770" s="10" t="str">
        <f>"644020240513173131176237"</f>
        <v>644020240513173131176237</v>
      </c>
      <c r="F5770" s="9"/>
    </row>
    <row r="5771" s="2" customFormat="1" ht="30" customHeight="1" spans="1:6">
      <c r="A5771" s="9">
        <v>5768</v>
      </c>
      <c r="B5771" s="10" t="s">
        <v>4840</v>
      </c>
      <c r="C5771" s="10" t="s">
        <v>4841</v>
      </c>
      <c r="D5771" s="10" t="s">
        <v>5607</v>
      </c>
      <c r="E5771" s="10" t="str">
        <f>"644020240514210812180133"</f>
        <v>644020240514210812180133</v>
      </c>
      <c r="F5771" s="9"/>
    </row>
    <row r="5772" s="2" customFormat="1" ht="30" customHeight="1" spans="1:6">
      <c r="A5772" s="9">
        <v>5769</v>
      </c>
      <c r="B5772" s="10" t="s">
        <v>4840</v>
      </c>
      <c r="C5772" s="10" t="s">
        <v>4841</v>
      </c>
      <c r="D5772" s="10" t="s">
        <v>5608</v>
      </c>
      <c r="E5772" s="10" t="str">
        <f>"644020240512132853169355"</f>
        <v>644020240512132853169355</v>
      </c>
      <c r="F5772" s="9"/>
    </row>
    <row r="5773" s="2" customFormat="1" ht="30" customHeight="1" spans="1:6">
      <c r="A5773" s="9">
        <v>5770</v>
      </c>
      <c r="B5773" s="10" t="s">
        <v>4840</v>
      </c>
      <c r="C5773" s="10" t="s">
        <v>4841</v>
      </c>
      <c r="D5773" s="10" t="s">
        <v>5609</v>
      </c>
      <c r="E5773" s="10" t="str">
        <f>"644020240513114119174040"</f>
        <v>644020240513114119174040</v>
      </c>
      <c r="F5773" s="9"/>
    </row>
    <row r="5774" s="2" customFormat="1" ht="30" customHeight="1" spans="1:6">
      <c r="A5774" s="9">
        <v>5771</v>
      </c>
      <c r="B5774" s="10" t="s">
        <v>4840</v>
      </c>
      <c r="C5774" s="10" t="s">
        <v>4841</v>
      </c>
      <c r="D5774" s="10" t="s">
        <v>5610</v>
      </c>
      <c r="E5774" s="10" t="str">
        <f>"644020240514215757180285"</f>
        <v>644020240514215757180285</v>
      </c>
      <c r="F5774" s="9"/>
    </row>
    <row r="5775" s="2" customFormat="1" ht="30" customHeight="1" spans="1:6">
      <c r="A5775" s="9">
        <v>5772</v>
      </c>
      <c r="B5775" s="10" t="s">
        <v>4840</v>
      </c>
      <c r="C5775" s="10" t="s">
        <v>4841</v>
      </c>
      <c r="D5775" s="10" t="s">
        <v>5611</v>
      </c>
      <c r="E5775" s="10" t="str">
        <f>"644020240514215956180290"</f>
        <v>644020240514215956180290</v>
      </c>
      <c r="F5775" s="9"/>
    </row>
    <row r="5776" s="2" customFormat="1" ht="30" customHeight="1" spans="1:6">
      <c r="A5776" s="9">
        <v>5773</v>
      </c>
      <c r="B5776" s="10" t="s">
        <v>4840</v>
      </c>
      <c r="C5776" s="10" t="s">
        <v>4841</v>
      </c>
      <c r="D5776" s="10" t="s">
        <v>5612</v>
      </c>
      <c r="E5776" s="10" t="str">
        <f>"644020240514220306180303"</f>
        <v>644020240514220306180303</v>
      </c>
      <c r="F5776" s="9"/>
    </row>
    <row r="5777" s="2" customFormat="1" ht="30" customHeight="1" spans="1:6">
      <c r="A5777" s="9">
        <v>5774</v>
      </c>
      <c r="B5777" s="10" t="s">
        <v>4840</v>
      </c>
      <c r="C5777" s="10" t="s">
        <v>4841</v>
      </c>
      <c r="D5777" s="10" t="s">
        <v>5613</v>
      </c>
      <c r="E5777" s="10" t="str">
        <f>"644020240513122101174252"</f>
        <v>644020240513122101174252</v>
      </c>
      <c r="F5777" s="9"/>
    </row>
    <row r="5778" s="2" customFormat="1" ht="30" customHeight="1" spans="1:6">
      <c r="A5778" s="9">
        <v>5775</v>
      </c>
      <c r="B5778" s="10" t="s">
        <v>4840</v>
      </c>
      <c r="C5778" s="10" t="s">
        <v>4841</v>
      </c>
      <c r="D5778" s="10" t="s">
        <v>5614</v>
      </c>
      <c r="E5778" s="10" t="str">
        <f>"644020240512121414169064"</f>
        <v>644020240512121414169064</v>
      </c>
      <c r="F5778" s="9"/>
    </row>
    <row r="5779" s="2" customFormat="1" ht="30" customHeight="1" spans="1:6">
      <c r="A5779" s="9">
        <v>5776</v>
      </c>
      <c r="B5779" s="10" t="s">
        <v>4840</v>
      </c>
      <c r="C5779" s="10" t="s">
        <v>4841</v>
      </c>
      <c r="D5779" s="10" t="s">
        <v>5615</v>
      </c>
      <c r="E5779" s="10" t="str">
        <f>"644020240514212737180200"</f>
        <v>644020240514212737180200</v>
      </c>
      <c r="F5779" s="9"/>
    </row>
    <row r="5780" s="2" customFormat="1" ht="30" customHeight="1" spans="1:6">
      <c r="A5780" s="9">
        <v>5777</v>
      </c>
      <c r="B5780" s="10" t="s">
        <v>4840</v>
      </c>
      <c r="C5780" s="10" t="s">
        <v>4841</v>
      </c>
      <c r="D5780" s="10" t="s">
        <v>5616</v>
      </c>
      <c r="E5780" s="10" t="str">
        <f>"644020240513190804176540"</f>
        <v>644020240513190804176540</v>
      </c>
      <c r="F5780" s="9"/>
    </row>
    <row r="5781" s="2" customFormat="1" ht="30" customHeight="1" spans="1:6">
      <c r="A5781" s="9">
        <v>5778</v>
      </c>
      <c r="B5781" s="10" t="s">
        <v>4840</v>
      </c>
      <c r="C5781" s="10" t="s">
        <v>4841</v>
      </c>
      <c r="D5781" s="10" t="s">
        <v>5617</v>
      </c>
      <c r="E5781" s="10" t="str">
        <f>"644020240512151558169711"</f>
        <v>644020240512151558169711</v>
      </c>
      <c r="F5781" s="9"/>
    </row>
    <row r="5782" s="2" customFormat="1" ht="30" customHeight="1" spans="1:6">
      <c r="A5782" s="9">
        <v>5779</v>
      </c>
      <c r="B5782" s="10" t="s">
        <v>4840</v>
      </c>
      <c r="C5782" s="10" t="s">
        <v>4841</v>
      </c>
      <c r="D5782" s="10" t="s">
        <v>5618</v>
      </c>
      <c r="E5782" s="10" t="str">
        <f>"644020240514221304180330"</f>
        <v>644020240514221304180330</v>
      </c>
      <c r="F5782" s="9"/>
    </row>
    <row r="5783" s="2" customFormat="1" ht="30" customHeight="1" spans="1:6">
      <c r="A5783" s="9">
        <v>5780</v>
      </c>
      <c r="B5783" s="10" t="s">
        <v>4840</v>
      </c>
      <c r="C5783" s="10" t="s">
        <v>4841</v>
      </c>
      <c r="D5783" s="10" t="s">
        <v>5619</v>
      </c>
      <c r="E5783" s="10" t="str">
        <f>"644020240514221049180321"</f>
        <v>644020240514221049180321</v>
      </c>
      <c r="F5783" s="9"/>
    </row>
    <row r="5784" s="2" customFormat="1" ht="30" customHeight="1" spans="1:6">
      <c r="A5784" s="9">
        <v>5781</v>
      </c>
      <c r="B5784" s="10" t="s">
        <v>4840</v>
      </c>
      <c r="C5784" s="10" t="s">
        <v>4841</v>
      </c>
      <c r="D5784" s="10" t="s">
        <v>5620</v>
      </c>
      <c r="E5784" s="10" t="str">
        <f>"644020240514180426179785"</f>
        <v>644020240514180426179785</v>
      </c>
      <c r="F5784" s="9"/>
    </row>
    <row r="5785" s="2" customFormat="1" ht="30" customHeight="1" spans="1:6">
      <c r="A5785" s="9">
        <v>5782</v>
      </c>
      <c r="B5785" s="10" t="s">
        <v>4840</v>
      </c>
      <c r="C5785" s="10" t="s">
        <v>4841</v>
      </c>
      <c r="D5785" s="10" t="s">
        <v>5621</v>
      </c>
      <c r="E5785" s="10" t="str">
        <f>"644020240514214714180253"</f>
        <v>644020240514214714180253</v>
      </c>
      <c r="F5785" s="9"/>
    </row>
    <row r="5786" s="2" customFormat="1" ht="30" customHeight="1" spans="1:6">
      <c r="A5786" s="9">
        <v>5783</v>
      </c>
      <c r="B5786" s="10" t="s">
        <v>4840</v>
      </c>
      <c r="C5786" s="10" t="s">
        <v>4841</v>
      </c>
      <c r="D5786" s="10" t="s">
        <v>5622</v>
      </c>
      <c r="E5786" s="10" t="str">
        <f>"644020240514221108180322"</f>
        <v>644020240514221108180322</v>
      </c>
      <c r="F5786" s="9"/>
    </row>
    <row r="5787" s="2" customFormat="1" ht="30" customHeight="1" spans="1:6">
      <c r="A5787" s="9">
        <v>5784</v>
      </c>
      <c r="B5787" s="10" t="s">
        <v>4840</v>
      </c>
      <c r="C5787" s="10" t="s">
        <v>4841</v>
      </c>
      <c r="D5787" s="10" t="s">
        <v>5623</v>
      </c>
      <c r="E5787" s="10" t="str">
        <f>"644020240514221900180348"</f>
        <v>644020240514221900180348</v>
      </c>
      <c r="F5787" s="9"/>
    </row>
    <row r="5788" s="2" customFormat="1" ht="30" customHeight="1" spans="1:6">
      <c r="A5788" s="9">
        <v>5785</v>
      </c>
      <c r="B5788" s="10" t="s">
        <v>4840</v>
      </c>
      <c r="C5788" s="10" t="s">
        <v>4841</v>
      </c>
      <c r="D5788" s="10" t="s">
        <v>5624</v>
      </c>
      <c r="E5788" s="10" t="str">
        <f>"644020240514214649180251"</f>
        <v>644020240514214649180251</v>
      </c>
      <c r="F5788" s="9"/>
    </row>
    <row r="5789" s="2" customFormat="1" ht="30" customHeight="1" spans="1:6">
      <c r="A5789" s="9">
        <v>5786</v>
      </c>
      <c r="B5789" s="10" t="s">
        <v>4840</v>
      </c>
      <c r="C5789" s="10" t="s">
        <v>4841</v>
      </c>
      <c r="D5789" s="10" t="s">
        <v>5625</v>
      </c>
      <c r="E5789" s="10" t="str">
        <f>"644020240513215454177196"</f>
        <v>644020240513215454177196</v>
      </c>
      <c r="F5789" s="9"/>
    </row>
    <row r="5790" s="2" customFormat="1" ht="30" customHeight="1" spans="1:6">
      <c r="A5790" s="9">
        <v>5787</v>
      </c>
      <c r="B5790" s="10" t="s">
        <v>4840</v>
      </c>
      <c r="C5790" s="10" t="s">
        <v>4841</v>
      </c>
      <c r="D5790" s="10" t="s">
        <v>5626</v>
      </c>
      <c r="E5790" s="10" t="str">
        <f>"644020240514215150180270"</f>
        <v>644020240514215150180270</v>
      </c>
      <c r="F5790" s="9"/>
    </row>
    <row r="5791" s="2" customFormat="1" ht="30" customHeight="1" spans="1:6">
      <c r="A5791" s="9">
        <v>5788</v>
      </c>
      <c r="B5791" s="10" t="s">
        <v>4840</v>
      </c>
      <c r="C5791" s="10" t="s">
        <v>4841</v>
      </c>
      <c r="D5791" s="10" t="s">
        <v>5627</v>
      </c>
      <c r="E5791" s="10" t="str">
        <f>"644020240514214827180263"</f>
        <v>644020240514214827180263</v>
      </c>
      <c r="F5791" s="9"/>
    </row>
    <row r="5792" s="2" customFormat="1" ht="30" customHeight="1" spans="1:6">
      <c r="A5792" s="9">
        <v>5789</v>
      </c>
      <c r="B5792" s="10" t="s">
        <v>4840</v>
      </c>
      <c r="C5792" s="10" t="s">
        <v>4841</v>
      </c>
      <c r="D5792" s="10" t="s">
        <v>5628</v>
      </c>
      <c r="E5792" s="10" t="str">
        <f>"644020240514214324180234"</f>
        <v>644020240514214324180234</v>
      </c>
      <c r="F5792" s="9"/>
    </row>
    <row r="5793" s="2" customFormat="1" ht="30" customHeight="1" spans="1:6">
      <c r="A5793" s="9">
        <v>5790</v>
      </c>
      <c r="B5793" s="10" t="s">
        <v>4840</v>
      </c>
      <c r="C5793" s="10" t="s">
        <v>4841</v>
      </c>
      <c r="D5793" s="10" t="s">
        <v>45</v>
      </c>
      <c r="E5793" s="10" t="str">
        <f>"644020240514222949180375"</f>
        <v>644020240514222949180375</v>
      </c>
      <c r="F5793" s="9"/>
    </row>
    <row r="5794" s="2" customFormat="1" ht="30" customHeight="1" spans="1:6">
      <c r="A5794" s="9">
        <v>5791</v>
      </c>
      <c r="B5794" s="10" t="s">
        <v>4840</v>
      </c>
      <c r="C5794" s="10" t="s">
        <v>4841</v>
      </c>
      <c r="D5794" s="10" t="s">
        <v>5510</v>
      </c>
      <c r="E5794" s="10" t="str">
        <f>"644020240513160727175827"</f>
        <v>644020240513160727175827</v>
      </c>
      <c r="F5794" s="9"/>
    </row>
    <row r="5795" s="2" customFormat="1" ht="30" customHeight="1" spans="1:6">
      <c r="A5795" s="9">
        <v>5792</v>
      </c>
      <c r="B5795" s="10" t="s">
        <v>4840</v>
      </c>
      <c r="C5795" s="10" t="s">
        <v>4841</v>
      </c>
      <c r="D5795" s="10" t="s">
        <v>5629</v>
      </c>
      <c r="E5795" s="10" t="str">
        <f>"644020240514223310180386"</f>
        <v>644020240514223310180386</v>
      </c>
      <c r="F5795" s="9"/>
    </row>
    <row r="5796" s="2" customFormat="1" ht="30" customHeight="1" spans="1:6">
      <c r="A5796" s="9">
        <v>5793</v>
      </c>
      <c r="B5796" s="10" t="s">
        <v>4840</v>
      </c>
      <c r="C5796" s="10" t="s">
        <v>4841</v>
      </c>
      <c r="D5796" s="10" t="s">
        <v>5630</v>
      </c>
      <c r="E5796" s="10" t="str">
        <f>"644020240514223706180400"</f>
        <v>644020240514223706180400</v>
      </c>
      <c r="F5796" s="9"/>
    </row>
    <row r="5797" s="2" customFormat="1" ht="30" customHeight="1" spans="1:6">
      <c r="A5797" s="9">
        <v>5794</v>
      </c>
      <c r="B5797" s="10" t="s">
        <v>4840</v>
      </c>
      <c r="C5797" s="10" t="s">
        <v>4841</v>
      </c>
      <c r="D5797" s="10" t="s">
        <v>5631</v>
      </c>
      <c r="E5797" s="10" t="str">
        <f>"644020240514084023177881"</f>
        <v>644020240514084023177881</v>
      </c>
      <c r="F5797" s="9"/>
    </row>
    <row r="5798" s="2" customFormat="1" ht="30" customHeight="1" spans="1:6">
      <c r="A5798" s="9">
        <v>5795</v>
      </c>
      <c r="B5798" s="10" t="s">
        <v>4840</v>
      </c>
      <c r="C5798" s="10" t="s">
        <v>4841</v>
      </c>
      <c r="D5798" s="10" t="s">
        <v>5632</v>
      </c>
      <c r="E5798" s="10" t="str">
        <f>"644020240514223643180398"</f>
        <v>644020240514223643180398</v>
      </c>
      <c r="F5798" s="9"/>
    </row>
    <row r="5799" s="2" customFormat="1" ht="30" customHeight="1" spans="1:6">
      <c r="A5799" s="9">
        <v>5796</v>
      </c>
      <c r="B5799" s="10" t="s">
        <v>4840</v>
      </c>
      <c r="C5799" s="10" t="s">
        <v>4841</v>
      </c>
      <c r="D5799" s="10" t="s">
        <v>1322</v>
      </c>
      <c r="E5799" s="10" t="str">
        <f>"644020240513202631176813"</f>
        <v>644020240513202631176813</v>
      </c>
      <c r="F5799" s="9"/>
    </row>
    <row r="5800" s="2" customFormat="1" ht="30" customHeight="1" spans="1:6">
      <c r="A5800" s="9">
        <v>5797</v>
      </c>
      <c r="B5800" s="10" t="s">
        <v>4840</v>
      </c>
      <c r="C5800" s="10" t="s">
        <v>4841</v>
      </c>
      <c r="D5800" s="10" t="s">
        <v>5633</v>
      </c>
      <c r="E5800" s="10" t="str">
        <f>"644020240514215723180284"</f>
        <v>644020240514215723180284</v>
      </c>
      <c r="F5800" s="9"/>
    </row>
    <row r="5801" s="2" customFormat="1" ht="30" customHeight="1" spans="1:6">
      <c r="A5801" s="9">
        <v>5798</v>
      </c>
      <c r="B5801" s="10" t="s">
        <v>4840</v>
      </c>
      <c r="C5801" s="10" t="s">
        <v>4841</v>
      </c>
      <c r="D5801" s="10" t="s">
        <v>5634</v>
      </c>
      <c r="E5801" s="10" t="str">
        <f>"644020240514224625180424"</f>
        <v>644020240514224625180424</v>
      </c>
      <c r="F5801" s="9"/>
    </row>
    <row r="5802" s="2" customFormat="1" ht="30" customHeight="1" spans="1:6">
      <c r="A5802" s="9">
        <v>5799</v>
      </c>
      <c r="B5802" s="10" t="s">
        <v>4840</v>
      </c>
      <c r="C5802" s="10" t="s">
        <v>4841</v>
      </c>
      <c r="D5802" s="10" t="s">
        <v>5635</v>
      </c>
      <c r="E5802" s="10" t="str">
        <f>"644020240514222421180362"</f>
        <v>644020240514222421180362</v>
      </c>
      <c r="F5802" s="9"/>
    </row>
    <row r="5803" s="2" customFormat="1" ht="30" customHeight="1" spans="1:6">
      <c r="A5803" s="9">
        <v>5800</v>
      </c>
      <c r="B5803" s="10" t="s">
        <v>4840</v>
      </c>
      <c r="C5803" s="10" t="s">
        <v>4841</v>
      </c>
      <c r="D5803" s="10" t="s">
        <v>5636</v>
      </c>
      <c r="E5803" s="10" t="str">
        <f>"644020240514222717180368"</f>
        <v>644020240514222717180368</v>
      </c>
      <c r="F5803" s="9"/>
    </row>
    <row r="5804" s="2" customFormat="1" ht="30" customHeight="1" spans="1:6">
      <c r="A5804" s="9">
        <v>5801</v>
      </c>
      <c r="B5804" s="10" t="s">
        <v>4840</v>
      </c>
      <c r="C5804" s="10" t="s">
        <v>4841</v>
      </c>
      <c r="D5804" s="10" t="s">
        <v>5637</v>
      </c>
      <c r="E5804" s="10" t="str">
        <f>"644020240514225031180430"</f>
        <v>644020240514225031180430</v>
      </c>
      <c r="F5804" s="9"/>
    </row>
    <row r="5805" s="2" customFormat="1" ht="30" customHeight="1" spans="1:6">
      <c r="A5805" s="9">
        <v>5802</v>
      </c>
      <c r="B5805" s="10" t="s">
        <v>4840</v>
      </c>
      <c r="C5805" s="10" t="s">
        <v>4841</v>
      </c>
      <c r="D5805" s="10" t="s">
        <v>5638</v>
      </c>
      <c r="E5805" s="10" t="str">
        <f>"644020240514224907180427"</f>
        <v>644020240514224907180427</v>
      </c>
      <c r="F5805" s="9"/>
    </row>
    <row r="5806" s="2" customFormat="1" ht="30" customHeight="1" spans="1:6">
      <c r="A5806" s="9">
        <v>5803</v>
      </c>
      <c r="B5806" s="10" t="s">
        <v>4840</v>
      </c>
      <c r="C5806" s="10" t="s">
        <v>4841</v>
      </c>
      <c r="D5806" s="10" t="s">
        <v>5639</v>
      </c>
      <c r="E5806" s="10" t="str">
        <f>"644020240514223850180406"</f>
        <v>644020240514223850180406</v>
      </c>
      <c r="F5806" s="9"/>
    </row>
    <row r="5807" s="2" customFormat="1" ht="30" customHeight="1" spans="1:6">
      <c r="A5807" s="9">
        <v>5804</v>
      </c>
      <c r="B5807" s="10" t="s">
        <v>4840</v>
      </c>
      <c r="C5807" s="10" t="s">
        <v>4841</v>
      </c>
      <c r="D5807" s="10" t="s">
        <v>5640</v>
      </c>
      <c r="E5807" s="10" t="str">
        <f>"644020240514223527180391"</f>
        <v>644020240514223527180391</v>
      </c>
      <c r="F5807" s="9"/>
    </row>
    <row r="5808" s="2" customFormat="1" ht="30" customHeight="1" spans="1:6">
      <c r="A5808" s="9">
        <v>5805</v>
      </c>
      <c r="B5808" s="10" t="s">
        <v>4840</v>
      </c>
      <c r="C5808" s="10" t="s">
        <v>4841</v>
      </c>
      <c r="D5808" s="10" t="s">
        <v>2074</v>
      </c>
      <c r="E5808" s="10" t="str">
        <f>"644020240514165418179588"</f>
        <v>644020240514165418179588</v>
      </c>
      <c r="F5808" s="9"/>
    </row>
    <row r="5809" s="2" customFormat="1" ht="30" customHeight="1" spans="1:6">
      <c r="A5809" s="9">
        <v>5806</v>
      </c>
      <c r="B5809" s="10" t="s">
        <v>4840</v>
      </c>
      <c r="C5809" s="10" t="s">
        <v>4841</v>
      </c>
      <c r="D5809" s="10" t="s">
        <v>5641</v>
      </c>
      <c r="E5809" s="10" t="str">
        <f>"644020240514225722180451"</f>
        <v>644020240514225722180451</v>
      </c>
      <c r="F5809" s="9"/>
    </row>
    <row r="5810" s="2" customFormat="1" ht="30" customHeight="1" spans="1:6">
      <c r="A5810" s="9">
        <v>5807</v>
      </c>
      <c r="B5810" s="10" t="s">
        <v>4840</v>
      </c>
      <c r="C5810" s="10" t="s">
        <v>4841</v>
      </c>
      <c r="D5810" s="10" t="s">
        <v>5642</v>
      </c>
      <c r="E5810" s="10" t="str">
        <f>"644020240514230513180469"</f>
        <v>644020240514230513180469</v>
      </c>
      <c r="F5810" s="9"/>
    </row>
    <row r="5811" s="2" customFormat="1" ht="30" customHeight="1" spans="1:6">
      <c r="A5811" s="9">
        <v>5808</v>
      </c>
      <c r="B5811" s="10" t="s">
        <v>4840</v>
      </c>
      <c r="C5811" s="10" t="s">
        <v>4841</v>
      </c>
      <c r="D5811" s="10" t="s">
        <v>5643</v>
      </c>
      <c r="E5811" s="10" t="str">
        <f>"644020240513215715177206"</f>
        <v>644020240513215715177206</v>
      </c>
      <c r="F5811" s="9"/>
    </row>
    <row r="5812" s="2" customFormat="1" ht="30" customHeight="1" spans="1:6">
      <c r="A5812" s="9">
        <v>5809</v>
      </c>
      <c r="B5812" s="10" t="s">
        <v>4840</v>
      </c>
      <c r="C5812" s="10" t="s">
        <v>4841</v>
      </c>
      <c r="D5812" s="10" t="s">
        <v>5644</v>
      </c>
      <c r="E5812" s="10" t="str">
        <f>"644020240513102244173337"</f>
        <v>644020240513102244173337</v>
      </c>
      <c r="F5812" s="9"/>
    </row>
    <row r="5813" s="2" customFormat="1" ht="30" customHeight="1" spans="1:6">
      <c r="A5813" s="9">
        <v>5810</v>
      </c>
      <c r="B5813" s="10" t="s">
        <v>4840</v>
      </c>
      <c r="C5813" s="10" t="s">
        <v>4841</v>
      </c>
      <c r="D5813" s="10" t="s">
        <v>5645</v>
      </c>
      <c r="E5813" s="10" t="str">
        <f>"644020240513155451175738"</f>
        <v>644020240513155451175738</v>
      </c>
      <c r="F5813" s="9"/>
    </row>
    <row r="5814" s="2" customFormat="1" ht="30" customHeight="1" spans="1:6">
      <c r="A5814" s="9">
        <v>5811</v>
      </c>
      <c r="B5814" s="10" t="s">
        <v>4840</v>
      </c>
      <c r="C5814" s="10" t="s">
        <v>4841</v>
      </c>
      <c r="D5814" s="10" t="s">
        <v>5646</v>
      </c>
      <c r="E5814" s="10" t="str">
        <f>"644020240514230316180466"</f>
        <v>644020240514230316180466</v>
      </c>
      <c r="F5814" s="9"/>
    </row>
    <row r="5815" s="2" customFormat="1" ht="30" customHeight="1" spans="1:6">
      <c r="A5815" s="9">
        <v>5812</v>
      </c>
      <c r="B5815" s="10" t="s">
        <v>4840</v>
      </c>
      <c r="C5815" s="10" t="s">
        <v>4841</v>
      </c>
      <c r="D5815" s="10" t="s">
        <v>5647</v>
      </c>
      <c r="E5815" s="10" t="str">
        <f>"644020240514232006180505"</f>
        <v>644020240514232006180505</v>
      </c>
      <c r="F5815" s="9"/>
    </row>
    <row r="5816" s="2" customFormat="1" ht="30" customHeight="1" spans="1:6">
      <c r="A5816" s="9">
        <v>5813</v>
      </c>
      <c r="B5816" s="10" t="s">
        <v>4840</v>
      </c>
      <c r="C5816" s="10" t="s">
        <v>4841</v>
      </c>
      <c r="D5816" s="10" t="s">
        <v>5648</v>
      </c>
      <c r="E5816" s="10" t="str">
        <f>"644020240514230653180473"</f>
        <v>644020240514230653180473</v>
      </c>
      <c r="F5816" s="9"/>
    </row>
    <row r="5817" s="2" customFormat="1" ht="30" customHeight="1" spans="1:6">
      <c r="A5817" s="9">
        <v>5814</v>
      </c>
      <c r="B5817" s="10" t="s">
        <v>4840</v>
      </c>
      <c r="C5817" s="10" t="s">
        <v>4841</v>
      </c>
      <c r="D5817" s="10" t="s">
        <v>5649</v>
      </c>
      <c r="E5817" s="10" t="str">
        <f>"644020240514232109180508"</f>
        <v>644020240514232109180508</v>
      </c>
      <c r="F5817" s="9"/>
    </row>
    <row r="5818" s="2" customFormat="1" ht="30" customHeight="1" spans="1:6">
      <c r="A5818" s="9">
        <v>5815</v>
      </c>
      <c r="B5818" s="10" t="s">
        <v>4840</v>
      </c>
      <c r="C5818" s="10" t="s">
        <v>4841</v>
      </c>
      <c r="D5818" s="10" t="s">
        <v>5650</v>
      </c>
      <c r="E5818" s="10" t="str">
        <f>"644020240514232208180511"</f>
        <v>644020240514232208180511</v>
      </c>
      <c r="F5818" s="9"/>
    </row>
    <row r="5819" s="2" customFormat="1" ht="30" customHeight="1" spans="1:6">
      <c r="A5819" s="9">
        <v>5816</v>
      </c>
      <c r="B5819" s="10" t="s">
        <v>4840</v>
      </c>
      <c r="C5819" s="10" t="s">
        <v>4841</v>
      </c>
      <c r="D5819" s="10" t="s">
        <v>2622</v>
      </c>
      <c r="E5819" s="10" t="str">
        <f>"644020240514120842178843"</f>
        <v>644020240514120842178843</v>
      </c>
      <c r="F5819" s="9"/>
    </row>
    <row r="5820" s="2" customFormat="1" ht="30" customHeight="1" spans="1:6">
      <c r="A5820" s="9">
        <v>5817</v>
      </c>
      <c r="B5820" s="10" t="s">
        <v>4840</v>
      </c>
      <c r="C5820" s="10" t="s">
        <v>4841</v>
      </c>
      <c r="D5820" s="10" t="s">
        <v>5651</v>
      </c>
      <c r="E5820" s="10" t="str">
        <f>"644020240514233304180527"</f>
        <v>644020240514233304180527</v>
      </c>
      <c r="F5820" s="9"/>
    </row>
    <row r="5821" s="2" customFormat="1" ht="30" customHeight="1" spans="1:6">
      <c r="A5821" s="9">
        <v>5818</v>
      </c>
      <c r="B5821" s="10" t="s">
        <v>4840</v>
      </c>
      <c r="C5821" s="10" t="s">
        <v>4841</v>
      </c>
      <c r="D5821" s="10" t="s">
        <v>5652</v>
      </c>
      <c r="E5821" s="10" t="str">
        <f>"644020240514083700177872"</f>
        <v>644020240514083700177872</v>
      </c>
      <c r="F5821" s="9"/>
    </row>
    <row r="5822" s="2" customFormat="1" ht="30" customHeight="1" spans="1:6">
      <c r="A5822" s="9">
        <v>5819</v>
      </c>
      <c r="B5822" s="10" t="s">
        <v>4840</v>
      </c>
      <c r="C5822" s="10" t="s">
        <v>4841</v>
      </c>
      <c r="D5822" s="10" t="s">
        <v>5653</v>
      </c>
      <c r="E5822" s="10" t="str">
        <f>"644020240513224401177419"</f>
        <v>644020240513224401177419</v>
      </c>
      <c r="F5822" s="9"/>
    </row>
    <row r="5823" s="2" customFormat="1" ht="30" customHeight="1" spans="1:6">
      <c r="A5823" s="9">
        <v>5820</v>
      </c>
      <c r="B5823" s="10" t="s">
        <v>4840</v>
      </c>
      <c r="C5823" s="10" t="s">
        <v>4841</v>
      </c>
      <c r="D5823" s="10" t="s">
        <v>5654</v>
      </c>
      <c r="E5823" s="10" t="str">
        <f>"644020240513141155174850"</f>
        <v>644020240513141155174850</v>
      </c>
      <c r="F5823" s="9"/>
    </row>
    <row r="5824" s="2" customFormat="1" ht="30" customHeight="1" spans="1:6">
      <c r="A5824" s="9">
        <v>5821</v>
      </c>
      <c r="B5824" s="10" t="s">
        <v>4840</v>
      </c>
      <c r="C5824" s="10" t="s">
        <v>4841</v>
      </c>
      <c r="D5824" s="10" t="s">
        <v>5655</v>
      </c>
      <c r="E5824" s="10" t="str">
        <f>"644020240515000023180567"</f>
        <v>644020240515000023180567</v>
      </c>
      <c r="F5824" s="9"/>
    </row>
    <row r="5825" s="2" customFormat="1" ht="30" customHeight="1" spans="1:6">
      <c r="A5825" s="9">
        <v>5822</v>
      </c>
      <c r="B5825" s="10" t="s">
        <v>4840</v>
      </c>
      <c r="C5825" s="10" t="s">
        <v>4841</v>
      </c>
      <c r="D5825" s="10" t="s">
        <v>5656</v>
      </c>
      <c r="E5825" s="10" t="str">
        <f>"644020240515001142180579"</f>
        <v>644020240515001142180579</v>
      </c>
      <c r="F5825" s="9"/>
    </row>
    <row r="5826" s="2" customFormat="1" ht="30" customHeight="1" spans="1:6">
      <c r="A5826" s="9">
        <v>5823</v>
      </c>
      <c r="B5826" s="10" t="s">
        <v>4840</v>
      </c>
      <c r="C5826" s="10" t="s">
        <v>4841</v>
      </c>
      <c r="D5826" s="10" t="s">
        <v>5657</v>
      </c>
      <c r="E5826" s="10" t="str">
        <f>"644020240514233757180533"</f>
        <v>644020240514233757180533</v>
      </c>
      <c r="F5826" s="9"/>
    </row>
    <row r="5827" s="2" customFormat="1" ht="30" customHeight="1" spans="1:6">
      <c r="A5827" s="9">
        <v>5824</v>
      </c>
      <c r="B5827" s="10" t="s">
        <v>4840</v>
      </c>
      <c r="C5827" s="10" t="s">
        <v>4841</v>
      </c>
      <c r="D5827" s="10" t="s">
        <v>5658</v>
      </c>
      <c r="E5827" s="10" t="str">
        <f>"644020240515001714180587"</f>
        <v>644020240515001714180587</v>
      </c>
      <c r="F5827" s="9"/>
    </row>
    <row r="5828" s="2" customFormat="1" ht="30" customHeight="1" spans="1:6">
      <c r="A5828" s="9">
        <v>5825</v>
      </c>
      <c r="B5828" s="10" t="s">
        <v>4840</v>
      </c>
      <c r="C5828" s="10" t="s">
        <v>4841</v>
      </c>
      <c r="D5828" s="10" t="s">
        <v>5659</v>
      </c>
      <c r="E5828" s="10" t="str">
        <f>"644020240515001910180591"</f>
        <v>644020240515001910180591</v>
      </c>
      <c r="F5828" s="9"/>
    </row>
    <row r="5829" s="2" customFormat="1" ht="30" customHeight="1" spans="1:6">
      <c r="A5829" s="9">
        <v>5826</v>
      </c>
      <c r="B5829" s="10" t="s">
        <v>4840</v>
      </c>
      <c r="C5829" s="10" t="s">
        <v>4841</v>
      </c>
      <c r="D5829" s="10" t="s">
        <v>5660</v>
      </c>
      <c r="E5829" s="10" t="str">
        <f>"644020240514235043180558"</f>
        <v>644020240514235043180558</v>
      </c>
      <c r="F5829" s="9"/>
    </row>
    <row r="5830" s="2" customFormat="1" ht="30" customHeight="1" spans="1:6">
      <c r="A5830" s="9">
        <v>5827</v>
      </c>
      <c r="B5830" s="10" t="s">
        <v>4840</v>
      </c>
      <c r="C5830" s="10" t="s">
        <v>4841</v>
      </c>
      <c r="D5830" s="10" t="s">
        <v>5661</v>
      </c>
      <c r="E5830" s="10" t="str">
        <f>"644020240515002514180598"</f>
        <v>644020240515002514180598</v>
      </c>
      <c r="F5830" s="9"/>
    </row>
    <row r="5831" s="2" customFormat="1" ht="30" customHeight="1" spans="1:6">
      <c r="A5831" s="9">
        <v>5828</v>
      </c>
      <c r="B5831" s="10" t="s">
        <v>4840</v>
      </c>
      <c r="C5831" s="10" t="s">
        <v>4841</v>
      </c>
      <c r="D5831" s="10" t="s">
        <v>5662</v>
      </c>
      <c r="E5831" s="10" t="str">
        <f>"644020240512230126171684"</f>
        <v>644020240512230126171684</v>
      </c>
      <c r="F5831" s="9"/>
    </row>
    <row r="5832" s="2" customFormat="1" ht="30" customHeight="1" spans="1:6">
      <c r="A5832" s="9">
        <v>5829</v>
      </c>
      <c r="B5832" s="10" t="s">
        <v>4840</v>
      </c>
      <c r="C5832" s="10" t="s">
        <v>4841</v>
      </c>
      <c r="D5832" s="10" t="s">
        <v>5663</v>
      </c>
      <c r="E5832" s="10" t="str">
        <f>"644020240514225145180437"</f>
        <v>644020240514225145180437</v>
      </c>
      <c r="F5832" s="9"/>
    </row>
    <row r="5833" s="2" customFormat="1" ht="30" customHeight="1" spans="1:6">
      <c r="A5833" s="9">
        <v>5830</v>
      </c>
      <c r="B5833" s="10" t="s">
        <v>4840</v>
      </c>
      <c r="C5833" s="10" t="s">
        <v>4841</v>
      </c>
      <c r="D5833" s="10" t="s">
        <v>5664</v>
      </c>
      <c r="E5833" s="10" t="str">
        <f>"644020240513224817177445"</f>
        <v>644020240513224817177445</v>
      </c>
      <c r="F5833" s="9"/>
    </row>
    <row r="5834" s="2" customFormat="1" ht="30" customHeight="1" spans="1:6">
      <c r="A5834" s="9">
        <v>5831</v>
      </c>
      <c r="B5834" s="10" t="s">
        <v>4840</v>
      </c>
      <c r="C5834" s="10" t="s">
        <v>4841</v>
      </c>
      <c r="D5834" s="10" t="s">
        <v>5665</v>
      </c>
      <c r="E5834" s="10" t="str">
        <f>"644020240515003522180602"</f>
        <v>644020240515003522180602</v>
      </c>
      <c r="F5834" s="9"/>
    </row>
    <row r="5835" s="2" customFormat="1" ht="30" customHeight="1" spans="1:6">
      <c r="A5835" s="9">
        <v>5832</v>
      </c>
      <c r="B5835" s="10" t="s">
        <v>4840</v>
      </c>
      <c r="C5835" s="10" t="s">
        <v>4841</v>
      </c>
      <c r="D5835" s="10" t="s">
        <v>5666</v>
      </c>
      <c r="E5835" s="10" t="str">
        <f>"644020240515011154180615"</f>
        <v>644020240515011154180615</v>
      </c>
      <c r="F5835" s="9"/>
    </row>
    <row r="5836" s="2" customFormat="1" ht="30" customHeight="1" spans="1:6">
      <c r="A5836" s="9">
        <v>5833</v>
      </c>
      <c r="B5836" s="10" t="s">
        <v>4840</v>
      </c>
      <c r="C5836" s="10" t="s">
        <v>4841</v>
      </c>
      <c r="D5836" s="10" t="s">
        <v>5667</v>
      </c>
      <c r="E5836" s="10" t="str">
        <f>"644020240515064049180638"</f>
        <v>644020240515064049180638</v>
      </c>
      <c r="F5836" s="9"/>
    </row>
    <row r="5837" s="2" customFormat="1" ht="30" customHeight="1" spans="1:6">
      <c r="A5837" s="9">
        <v>5834</v>
      </c>
      <c r="B5837" s="10" t="s">
        <v>4840</v>
      </c>
      <c r="C5837" s="10" t="s">
        <v>4841</v>
      </c>
      <c r="D5837" s="10" t="s">
        <v>5668</v>
      </c>
      <c r="E5837" s="10" t="str">
        <f>"644020240512105303168684"</f>
        <v>644020240512105303168684</v>
      </c>
      <c r="F5837" s="9"/>
    </row>
    <row r="5838" s="2" customFormat="1" ht="30" customHeight="1" spans="1:6">
      <c r="A5838" s="9">
        <v>5835</v>
      </c>
      <c r="B5838" s="10" t="s">
        <v>4840</v>
      </c>
      <c r="C5838" s="10" t="s">
        <v>4841</v>
      </c>
      <c r="D5838" s="10" t="s">
        <v>5669</v>
      </c>
      <c r="E5838" s="10" t="str">
        <f>"644020240514221524180339"</f>
        <v>644020240514221524180339</v>
      </c>
      <c r="F5838" s="9"/>
    </row>
    <row r="5839" s="2" customFormat="1" ht="30" customHeight="1" spans="1:6">
      <c r="A5839" s="9">
        <v>5836</v>
      </c>
      <c r="B5839" s="10" t="s">
        <v>4840</v>
      </c>
      <c r="C5839" s="10" t="s">
        <v>4841</v>
      </c>
      <c r="D5839" s="10" t="s">
        <v>1819</v>
      </c>
      <c r="E5839" s="10" t="str">
        <f>"644020240515071322180645"</f>
        <v>644020240515071322180645</v>
      </c>
      <c r="F5839" s="9"/>
    </row>
    <row r="5840" s="2" customFormat="1" ht="30" customHeight="1" spans="1:6">
      <c r="A5840" s="9">
        <v>5837</v>
      </c>
      <c r="B5840" s="10" t="s">
        <v>4840</v>
      </c>
      <c r="C5840" s="10" t="s">
        <v>4841</v>
      </c>
      <c r="D5840" s="10" t="s">
        <v>5670</v>
      </c>
      <c r="E5840" s="10" t="str">
        <f>"644020240514163929179533"</f>
        <v>644020240514163929179533</v>
      </c>
      <c r="F5840" s="9"/>
    </row>
    <row r="5841" s="2" customFormat="1" ht="30" customHeight="1" spans="1:6">
      <c r="A5841" s="9">
        <v>5838</v>
      </c>
      <c r="B5841" s="10" t="s">
        <v>4840</v>
      </c>
      <c r="C5841" s="10" t="s">
        <v>4841</v>
      </c>
      <c r="D5841" s="10" t="s">
        <v>5671</v>
      </c>
      <c r="E5841" s="10" t="str">
        <f>"644020240513111054173788"</f>
        <v>644020240513111054173788</v>
      </c>
      <c r="F5841" s="9"/>
    </row>
    <row r="5842" s="2" customFormat="1" ht="30" customHeight="1" spans="1:6">
      <c r="A5842" s="9">
        <v>5839</v>
      </c>
      <c r="B5842" s="10" t="s">
        <v>4840</v>
      </c>
      <c r="C5842" s="10" t="s">
        <v>4841</v>
      </c>
      <c r="D5842" s="10" t="s">
        <v>5672</v>
      </c>
      <c r="E5842" s="10" t="str">
        <f>"644020240515084258180724"</f>
        <v>644020240515084258180724</v>
      </c>
      <c r="F5842" s="9"/>
    </row>
    <row r="5843" s="2" customFormat="1" ht="30" customHeight="1" spans="1:6">
      <c r="A5843" s="9">
        <v>5840</v>
      </c>
      <c r="B5843" s="10" t="s">
        <v>4840</v>
      </c>
      <c r="C5843" s="10" t="s">
        <v>4841</v>
      </c>
      <c r="D5843" s="10" t="s">
        <v>5673</v>
      </c>
      <c r="E5843" s="10" t="str">
        <f>"644020240515090645180776"</f>
        <v>644020240515090645180776</v>
      </c>
      <c r="F5843" s="9"/>
    </row>
    <row r="5844" s="2" customFormat="1" ht="30" customHeight="1" spans="1:6">
      <c r="A5844" s="9">
        <v>5841</v>
      </c>
      <c r="B5844" s="10" t="s">
        <v>4840</v>
      </c>
      <c r="C5844" s="10" t="s">
        <v>4841</v>
      </c>
      <c r="D5844" s="10" t="s">
        <v>5674</v>
      </c>
      <c r="E5844" s="10" t="str">
        <f>"644020240513235019177624"</f>
        <v>644020240513235019177624</v>
      </c>
      <c r="F5844" s="9"/>
    </row>
    <row r="5845" s="2" customFormat="1" ht="30" customHeight="1" spans="1:6">
      <c r="A5845" s="9">
        <v>5842</v>
      </c>
      <c r="B5845" s="10" t="s">
        <v>4840</v>
      </c>
      <c r="C5845" s="10" t="s">
        <v>4841</v>
      </c>
      <c r="D5845" s="10" t="s">
        <v>5675</v>
      </c>
      <c r="E5845" s="10" t="str">
        <f>"644020240514200235179971"</f>
        <v>644020240514200235179971</v>
      </c>
      <c r="F5845" s="9"/>
    </row>
    <row r="5846" s="2" customFormat="1" ht="30" customHeight="1" spans="1:6">
      <c r="A5846" s="9">
        <v>5843</v>
      </c>
      <c r="B5846" s="10" t="s">
        <v>4840</v>
      </c>
      <c r="C5846" s="10" t="s">
        <v>4841</v>
      </c>
      <c r="D5846" s="10" t="s">
        <v>5676</v>
      </c>
      <c r="E5846" s="10" t="str">
        <f>"644020240514171222179655"</f>
        <v>644020240514171222179655</v>
      </c>
      <c r="F5846" s="9"/>
    </row>
    <row r="5847" s="2" customFormat="1" ht="30" customHeight="1" spans="1:6">
      <c r="A5847" s="9">
        <v>5844</v>
      </c>
      <c r="B5847" s="10" t="s">
        <v>4840</v>
      </c>
      <c r="C5847" s="10" t="s">
        <v>4841</v>
      </c>
      <c r="D5847" s="10" t="s">
        <v>5677</v>
      </c>
      <c r="E5847" s="10" t="str">
        <f>"644020240515090751180782"</f>
        <v>644020240515090751180782</v>
      </c>
      <c r="F5847" s="9"/>
    </row>
    <row r="5848" s="2" customFormat="1" ht="30" customHeight="1" spans="1:6">
      <c r="A5848" s="9">
        <v>5845</v>
      </c>
      <c r="B5848" s="10" t="s">
        <v>4840</v>
      </c>
      <c r="C5848" s="10" t="s">
        <v>4841</v>
      </c>
      <c r="D5848" s="10" t="s">
        <v>5678</v>
      </c>
      <c r="E5848" s="10" t="str">
        <f>"644020240513161925175889"</f>
        <v>644020240513161925175889</v>
      </c>
      <c r="F5848" s="9"/>
    </row>
    <row r="5849" s="2" customFormat="1" ht="30" customHeight="1" spans="1:6">
      <c r="A5849" s="9">
        <v>5846</v>
      </c>
      <c r="B5849" s="10" t="s">
        <v>4840</v>
      </c>
      <c r="C5849" s="10" t="s">
        <v>4841</v>
      </c>
      <c r="D5849" s="10" t="s">
        <v>1676</v>
      </c>
      <c r="E5849" s="10" t="str">
        <f>"644020240513162700175925"</f>
        <v>644020240513162700175925</v>
      </c>
      <c r="F5849" s="9"/>
    </row>
    <row r="5850" s="2" customFormat="1" ht="30" customHeight="1" spans="1:6">
      <c r="A5850" s="9">
        <v>5847</v>
      </c>
      <c r="B5850" s="10" t="s">
        <v>4840</v>
      </c>
      <c r="C5850" s="10" t="s">
        <v>4841</v>
      </c>
      <c r="D5850" s="10" t="s">
        <v>5679</v>
      </c>
      <c r="E5850" s="10" t="str">
        <f>"644020240515090609180774"</f>
        <v>644020240515090609180774</v>
      </c>
      <c r="F5850" s="9"/>
    </row>
    <row r="5851" s="2" customFormat="1" ht="30" customHeight="1" spans="1:6">
      <c r="A5851" s="9">
        <v>5848</v>
      </c>
      <c r="B5851" s="10" t="s">
        <v>4840</v>
      </c>
      <c r="C5851" s="10" t="s">
        <v>4841</v>
      </c>
      <c r="D5851" s="10" t="s">
        <v>5680</v>
      </c>
      <c r="E5851" s="10" t="str">
        <f>"644020240514212802180201"</f>
        <v>644020240514212802180201</v>
      </c>
      <c r="F5851" s="9"/>
    </row>
    <row r="5852" s="2" customFormat="1" ht="30" customHeight="1" spans="1:6">
      <c r="A5852" s="9">
        <v>5849</v>
      </c>
      <c r="B5852" s="10" t="s">
        <v>4840</v>
      </c>
      <c r="C5852" s="10" t="s">
        <v>4841</v>
      </c>
      <c r="D5852" s="10" t="s">
        <v>5681</v>
      </c>
      <c r="E5852" s="10" t="str">
        <f>"644020240515092530180840"</f>
        <v>644020240515092530180840</v>
      </c>
      <c r="F5852" s="9"/>
    </row>
    <row r="5853" s="2" customFormat="1" ht="30" customHeight="1" spans="1:6">
      <c r="A5853" s="9">
        <v>5850</v>
      </c>
      <c r="B5853" s="10" t="s">
        <v>4840</v>
      </c>
      <c r="C5853" s="10" t="s">
        <v>4841</v>
      </c>
      <c r="D5853" s="10" t="s">
        <v>5682</v>
      </c>
      <c r="E5853" s="10" t="str">
        <f>"644020240515093309180865"</f>
        <v>644020240515093309180865</v>
      </c>
      <c r="F5853" s="9"/>
    </row>
    <row r="5854" s="2" customFormat="1" ht="30" customHeight="1" spans="1:6">
      <c r="A5854" s="9">
        <v>5851</v>
      </c>
      <c r="B5854" s="10" t="s">
        <v>4840</v>
      </c>
      <c r="C5854" s="10" t="s">
        <v>4841</v>
      </c>
      <c r="D5854" s="10" t="s">
        <v>5683</v>
      </c>
      <c r="E5854" s="10" t="str">
        <f>"644020240515083431180706"</f>
        <v>644020240515083431180706</v>
      </c>
      <c r="F5854" s="9"/>
    </row>
    <row r="5855" s="2" customFormat="1" ht="30" customHeight="1" spans="1:6">
      <c r="A5855" s="9">
        <v>5852</v>
      </c>
      <c r="B5855" s="10" t="s">
        <v>4840</v>
      </c>
      <c r="C5855" s="10" t="s">
        <v>4841</v>
      </c>
      <c r="D5855" s="10" t="s">
        <v>5684</v>
      </c>
      <c r="E5855" s="10" t="str">
        <f>"644020240515085806180756"</f>
        <v>644020240515085806180756</v>
      </c>
      <c r="F5855" s="9"/>
    </row>
    <row r="5856" s="2" customFormat="1" ht="30" customHeight="1" spans="1:6">
      <c r="A5856" s="9">
        <v>5853</v>
      </c>
      <c r="B5856" s="10" t="s">
        <v>4840</v>
      </c>
      <c r="C5856" s="10" t="s">
        <v>4841</v>
      </c>
      <c r="D5856" s="10" t="s">
        <v>5685</v>
      </c>
      <c r="E5856" s="10" t="str">
        <f>"644020240514093948178162"</f>
        <v>644020240514093948178162</v>
      </c>
      <c r="F5856" s="9"/>
    </row>
    <row r="5857" s="2" customFormat="1" ht="30" customHeight="1" spans="1:6">
      <c r="A5857" s="9">
        <v>5854</v>
      </c>
      <c r="B5857" s="10" t="s">
        <v>4840</v>
      </c>
      <c r="C5857" s="10" t="s">
        <v>4841</v>
      </c>
      <c r="D5857" s="10" t="s">
        <v>5686</v>
      </c>
      <c r="E5857" s="10" t="str">
        <f>"644020240515095518180936"</f>
        <v>644020240515095518180936</v>
      </c>
      <c r="F5857" s="9"/>
    </row>
    <row r="5858" s="2" customFormat="1" ht="30" customHeight="1" spans="1:6">
      <c r="A5858" s="9">
        <v>5855</v>
      </c>
      <c r="B5858" s="10" t="s">
        <v>4840</v>
      </c>
      <c r="C5858" s="10" t="s">
        <v>4841</v>
      </c>
      <c r="D5858" s="10" t="s">
        <v>5687</v>
      </c>
      <c r="E5858" s="10" t="str">
        <f>"644020240514231951180504"</f>
        <v>644020240514231951180504</v>
      </c>
      <c r="F5858" s="9"/>
    </row>
    <row r="5859" s="2" customFormat="1" ht="30" customHeight="1" spans="1:6">
      <c r="A5859" s="9">
        <v>5856</v>
      </c>
      <c r="B5859" s="10" t="s">
        <v>4840</v>
      </c>
      <c r="C5859" s="10" t="s">
        <v>4841</v>
      </c>
      <c r="D5859" s="10" t="s">
        <v>5688</v>
      </c>
      <c r="E5859" s="10" t="str">
        <f>"644020240515092837180852"</f>
        <v>644020240515092837180852</v>
      </c>
      <c r="F5859" s="9"/>
    </row>
    <row r="5860" s="2" customFormat="1" ht="30" customHeight="1" spans="1:6">
      <c r="A5860" s="9">
        <v>5857</v>
      </c>
      <c r="B5860" s="10" t="s">
        <v>4840</v>
      </c>
      <c r="C5860" s="10" t="s">
        <v>4841</v>
      </c>
      <c r="D5860" s="10" t="s">
        <v>5689</v>
      </c>
      <c r="E5860" s="10" t="str">
        <f>"644020240515092008180823"</f>
        <v>644020240515092008180823</v>
      </c>
      <c r="F5860" s="9"/>
    </row>
    <row r="5861" s="2" customFormat="1" ht="30" customHeight="1" spans="1:6">
      <c r="A5861" s="9">
        <v>5858</v>
      </c>
      <c r="B5861" s="10" t="s">
        <v>4840</v>
      </c>
      <c r="C5861" s="10" t="s">
        <v>4841</v>
      </c>
      <c r="D5861" s="10" t="s">
        <v>5690</v>
      </c>
      <c r="E5861" s="10" t="str">
        <f>"644020240514155508179384"</f>
        <v>644020240514155508179384</v>
      </c>
      <c r="F5861" s="9"/>
    </row>
    <row r="5862" s="2" customFormat="1" ht="30" customHeight="1" spans="1:6">
      <c r="A5862" s="9">
        <v>5859</v>
      </c>
      <c r="B5862" s="10" t="s">
        <v>4840</v>
      </c>
      <c r="C5862" s="10" t="s">
        <v>4841</v>
      </c>
      <c r="D5862" s="10" t="s">
        <v>5669</v>
      </c>
      <c r="E5862" s="10" t="str">
        <f>"644020240515095201180919"</f>
        <v>644020240515095201180919</v>
      </c>
      <c r="F5862" s="9"/>
    </row>
    <row r="5863" s="2" customFormat="1" ht="30" customHeight="1" spans="1:6">
      <c r="A5863" s="9">
        <v>5860</v>
      </c>
      <c r="B5863" s="10" t="s">
        <v>4840</v>
      </c>
      <c r="C5863" s="10" t="s">
        <v>4841</v>
      </c>
      <c r="D5863" s="10" t="s">
        <v>5691</v>
      </c>
      <c r="E5863" s="10" t="str">
        <f>"644020240515092410180832"</f>
        <v>644020240515092410180832</v>
      </c>
      <c r="F5863" s="9"/>
    </row>
    <row r="5864" s="2" customFormat="1" ht="30" customHeight="1" spans="1:6">
      <c r="A5864" s="9">
        <v>5861</v>
      </c>
      <c r="B5864" s="10" t="s">
        <v>4840</v>
      </c>
      <c r="C5864" s="10" t="s">
        <v>4841</v>
      </c>
      <c r="D5864" s="10" t="s">
        <v>5692</v>
      </c>
      <c r="E5864" s="10" t="str">
        <f>"644020240515080258180666"</f>
        <v>644020240515080258180666</v>
      </c>
      <c r="F5864" s="9"/>
    </row>
    <row r="5865" s="2" customFormat="1" ht="30" customHeight="1" spans="1:6">
      <c r="A5865" s="9">
        <v>5862</v>
      </c>
      <c r="B5865" s="10" t="s">
        <v>4840</v>
      </c>
      <c r="C5865" s="10" t="s">
        <v>4841</v>
      </c>
      <c r="D5865" s="10" t="s">
        <v>5693</v>
      </c>
      <c r="E5865" s="10" t="str">
        <f>"644020240515093334180867"</f>
        <v>644020240515093334180867</v>
      </c>
      <c r="F5865" s="9"/>
    </row>
    <row r="5866" s="2" customFormat="1" ht="30" customHeight="1" spans="1:6">
      <c r="A5866" s="9">
        <v>5863</v>
      </c>
      <c r="B5866" s="10" t="s">
        <v>4840</v>
      </c>
      <c r="C5866" s="10" t="s">
        <v>4841</v>
      </c>
      <c r="D5866" s="10" t="s">
        <v>5694</v>
      </c>
      <c r="E5866" s="10" t="str">
        <f>"644020240515102430181022"</f>
        <v>644020240515102430181022</v>
      </c>
      <c r="F5866" s="9"/>
    </row>
    <row r="5867" s="2" customFormat="1" ht="30" customHeight="1" spans="1:6">
      <c r="A5867" s="9">
        <v>5864</v>
      </c>
      <c r="B5867" s="10" t="s">
        <v>4840</v>
      </c>
      <c r="C5867" s="10" t="s">
        <v>4841</v>
      </c>
      <c r="D5867" s="10" t="s">
        <v>5695</v>
      </c>
      <c r="E5867" s="10" t="str">
        <f>"644020240515102059181011"</f>
        <v>644020240515102059181011</v>
      </c>
      <c r="F5867" s="9"/>
    </row>
    <row r="5868" s="2" customFormat="1" ht="30" customHeight="1" spans="1:6">
      <c r="A5868" s="9">
        <v>5865</v>
      </c>
      <c r="B5868" s="10" t="s">
        <v>4840</v>
      </c>
      <c r="C5868" s="10" t="s">
        <v>4841</v>
      </c>
      <c r="D5868" s="10" t="s">
        <v>5696</v>
      </c>
      <c r="E5868" s="10" t="str">
        <f>"644020240515095529180937"</f>
        <v>644020240515095529180937</v>
      </c>
      <c r="F5868" s="9"/>
    </row>
    <row r="5869" s="2" customFormat="1" ht="30" customHeight="1" spans="1:6">
      <c r="A5869" s="9">
        <v>5866</v>
      </c>
      <c r="B5869" s="10" t="s">
        <v>4840</v>
      </c>
      <c r="C5869" s="10" t="s">
        <v>4841</v>
      </c>
      <c r="D5869" s="10" t="s">
        <v>5697</v>
      </c>
      <c r="E5869" s="10" t="str">
        <f>"644020240515103044181052"</f>
        <v>644020240515103044181052</v>
      </c>
      <c r="F5869" s="9"/>
    </row>
    <row r="5870" s="2" customFormat="1" ht="30" customHeight="1" spans="1:6">
      <c r="A5870" s="9">
        <v>5867</v>
      </c>
      <c r="B5870" s="10" t="s">
        <v>4840</v>
      </c>
      <c r="C5870" s="10" t="s">
        <v>4841</v>
      </c>
      <c r="D5870" s="10" t="s">
        <v>5698</v>
      </c>
      <c r="E5870" s="10" t="str">
        <f>"644020240515094747180905"</f>
        <v>644020240515094747180905</v>
      </c>
      <c r="F5870" s="9"/>
    </row>
    <row r="5871" s="2" customFormat="1" ht="30" customHeight="1" spans="1:6">
      <c r="A5871" s="9">
        <v>5868</v>
      </c>
      <c r="B5871" s="10" t="s">
        <v>4840</v>
      </c>
      <c r="C5871" s="10" t="s">
        <v>4841</v>
      </c>
      <c r="D5871" s="10" t="s">
        <v>5699</v>
      </c>
      <c r="E5871" s="10" t="str">
        <f>"644020240515102137181013"</f>
        <v>644020240515102137181013</v>
      </c>
      <c r="F5871" s="9"/>
    </row>
    <row r="5872" s="2" customFormat="1" ht="30" customHeight="1" spans="1:6">
      <c r="A5872" s="9">
        <v>5869</v>
      </c>
      <c r="B5872" s="10" t="s">
        <v>4840</v>
      </c>
      <c r="C5872" s="10" t="s">
        <v>4841</v>
      </c>
      <c r="D5872" s="10" t="s">
        <v>5700</v>
      </c>
      <c r="E5872" s="10" t="str">
        <f>"644020240515101739180997"</f>
        <v>644020240515101739180997</v>
      </c>
      <c r="F5872" s="9"/>
    </row>
    <row r="5873" s="2" customFormat="1" ht="30" customHeight="1" spans="1:6">
      <c r="A5873" s="9">
        <v>5870</v>
      </c>
      <c r="B5873" s="10" t="s">
        <v>4840</v>
      </c>
      <c r="C5873" s="10" t="s">
        <v>4841</v>
      </c>
      <c r="D5873" s="10" t="s">
        <v>5701</v>
      </c>
      <c r="E5873" s="10" t="str">
        <f>"644020240515103436181064"</f>
        <v>644020240515103436181064</v>
      </c>
      <c r="F5873" s="9"/>
    </row>
    <row r="5874" s="2" customFormat="1" ht="30" customHeight="1" spans="1:6">
      <c r="A5874" s="9">
        <v>5871</v>
      </c>
      <c r="B5874" s="10" t="s">
        <v>4840</v>
      </c>
      <c r="C5874" s="10" t="s">
        <v>4841</v>
      </c>
      <c r="D5874" s="10" t="s">
        <v>5702</v>
      </c>
      <c r="E5874" s="10" t="str">
        <f>"644020240515102553181032"</f>
        <v>644020240515102553181032</v>
      </c>
      <c r="F5874" s="9"/>
    </row>
    <row r="5875" s="2" customFormat="1" ht="30" customHeight="1" spans="1:6">
      <c r="A5875" s="9">
        <v>5872</v>
      </c>
      <c r="B5875" s="10" t="s">
        <v>4840</v>
      </c>
      <c r="C5875" s="10" t="s">
        <v>4841</v>
      </c>
      <c r="D5875" s="10" t="s">
        <v>5703</v>
      </c>
      <c r="E5875" s="10" t="str">
        <f>"644020240515102651181038"</f>
        <v>644020240515102651181038</v>
      </c>
      <c r="F5875" s="9"/>
    </row>
    <row r="5876" s="2" customFormat="1" ht="30" customHeight="1" spans="1:6">
      <c r="A5876" s="9">
        <v>5873</v>
      </c>
      <c r="B5876" s="10" t="s">
        <v>4840</v>
      </c>
      <c r="C5876" s="10" t="s">
        <v>4841</v>
      </c>
      <c r="D5876" s="10" t="s">
        <v>5704</v>
      </c>
      <c r="E5876" s="10" t="str">
        <f>"644020240514172550179697"</f>
        <v>644020240514172550179697</v>
      </c>
      <c r="F5876" s="9"/>
    </row>
    <row r="5877" s="2" customFormat="1" ht="30" customHeight="1" spans="1:6">
      <c r="A5877" s="9">
        <v>5874</v>
      </c>
      <c r="B5877" s="10" t="s">
        <v>4840</v>
      </c>
      <c r="C5877" s="10" t="s">
        <v>4841</v>
      </c>
      <c r="D5877" s="10" t="s">
        <v>5705</v>
      </c>
      <c r="E5877" s="10" t="str">
        <f>"644020240515094534180898"</f>
        <v>644020240515094534180898</v>
      </c>
      <c r="F5877" s="9"/>
    </row>
    <row r="5878" s="2" customFormat="1" ht="30" customHeight="1" spans="1:6">
      <c r="A5878" s="9">
        <v>5875</v>
      </c>
      <c r="B5878" s="10" t="s">
        <v>4840</v>
      </c>
      <c r="C5878" s="10" t="s">
        <v>4841</v>
      </c>
      <c r="D5878" s="10" t="s">
        <v>5706</v>
      </c>
      <c r="E5878" s="10" t="str">
        <f>"644020240515103017181048"</f>
        <v>644020240515103017181048</v>
      </c>
      <c r="F5878" s="9"/>
    </row>
    <row r="5879" s="2" customFormat="1" ht="30" customHeight="1" spans="1:6">
      <c r="A5879" s="9">
        <v>5876</v>
      </c>
      <c r="B5879" s="10" t="s">
        <v>4840</v>
      </c>
      <c r="C5879" s="10" t="s">
        <v>4841</v>
      </c>
      <c r="D5879" s="10" t="s">
        <v>5707</v>
      </c>
      <c r="E5879" s="10" t="str">
        <f>"644020240513172517176214"</f>
        <v>644020240513172517176214</v>
      </c>
      <c r="F5879" s="9"/>
    </row>
    <row r="5880" s="2" customFormat="1" ht="30" customHeight="1" spans="1:6">
      <c r="A5880" s="9">
        <v>5877</v>
      </c>
      <c r="B5880" s="10" t="s">
        <v>4840</v>
      </c>
      <c r="C5880" s="10" t="s">
        <v>4841</v>
      </c>
      <c r="D5880" s="10" t="s">
        <v>5708</v>
      </c>
      <c r="E5880" s="10" t="str">
        <f>"644020240515092924180855"</f>
        <v>644020240515092924180855</v>
      </c>
      <c r="F5880" s="9"/>
    </row>
    <row r="5881" s="2" customFormat="1" ht="30" customHeight="1" spans="1:6">
      <c r="A5881" s="9">
        <v>5878</v>
      </c>
      <c r="B5881" s="10" t="s">
        <v>4840</v>
      </c>
      <c r="C5881" s="10" t="s">
        <v>4841</v>
      </c>
      <c r="D5881" s="10" t="s">
        <v>5709</v>
      </c>
      <c r="E5881" s="10" t="str">
        <f>"644020240514212525180188"</f>
        <v>644020240514212525180188</v>
      </c>
      <c r="F5881" s="9"/>
    </row>
    <row r="5882" s="2" customFormat="1" ht="30" customHeight="1" spans="1:6">
      <c r="A5882" s="9">
        <v>5879</v>
      </c>
      <c r="B5882" s="10" t="s">
        <v>4840</v>
      </c>
      <c r="C5882" s="10" t="s">
        <v>4841</v>
      </c>
      <c r="D5882" s="10" t="s">
        <v>5710</v>
      </c>
      <c r="E5882" s="10" t="str">
        <f>"644020240515103452181065"</f>
        <v>644020240515103452181065</v>
      </c>
      <c r="F5882" s="9"/>
    </row>
    <row r="5883" s="2" customFormat="1" ht="30" customHeight="1" spans="1:6">
      <c r="A5883" s="9">
        <v>5880</v>
      </c>
      <c r="B5883" s="10" t="s">
        <v>4840</v>
      </c>
      <c r="C5883" s="10" t="s">
        <v>4841</v>
      </c>
      <c r="D5883" s="10" t="s">
        <v>5711</v>
      </c>
      <c r="E5883" s="10" t="str">
        <f>"644020240513203119176832"</f>
        <v>644020240513203119176832</v>
      </c>
      <c r="F5883" s="9"/>
    </row>
    <row r="5884" s="2" customFormat="1" ht="30" customHeight="1" spans="1:6">
      <c r="A5884" s="9">
        <v>5881</v>
      </c>
      <c r="B5884" s="10" t="s">
        <v>4840</v>
      </c>
      <c r="C5884" s="10" t="s">
        <v>4841</v>
      </c>
      <c r="D5884" s="10" t="s">
        <v>5712</v>
      </c>
      <c r="E5884" s="10" t="str">
        <f>"644020240514182547179824"</f>
        <v>644020240514182547179824</v>
      </c>
      <c r="F5884" s="9"/>
    </row>
    <row r="5885" s="2" customFormat="1" ht="30" customHeight="1" spans="1:6">
      <c r="A5885" s="9">
        <v>5882</v>
      </c>
      <c r="B5885" s="10" t="s">
        <v>4840</v>
      </c>
      <c r="C5885" s="10" t="s">
        <v>4841</v>
      </c>
      <c r="D5885" s="10" t="s">
        <v>5713</v>
      </c>
      <c r="E5885" s="10" t="str">
        <f>"644020240513142944174969"</f>
        <v>644020240513142944174969</v>
      </c>
      <c r="F5885" s="9"/>
    </row>
    <row r="5886" s="2" customFormat="1" ht="30" customHeight="1" spans="1:6">
      <c r="A5886" s="9">
        <v>5883</v>
      </c>
      <c r="B5886" s="10" t="s">
        <v>4840</v>
      </c>
      <c r="C5886" s="10" t="s">
        <v>4841</v>
      </c>
      <c r="D5886" s="10" t="s">
        <v>5714</v>
      </c>
      <c r="E5886" s="10" t="str">
        <f>"644020240514163438179512"</f>
        <v>644020240514163438179512</v>
      </c>
      <c r="F5886" s="9"/>
    </row>
    <row r="5887" s="2" customFormat="1" ht="30" customHeight="1" spans="1:6">
      <c r="A5887" s="9">
        <v>5884</v>
      </c>
      <c r="B5887" s="10" t="s">
        <v>4840</v>
      </c>
      <c r="C5887" s="10" t="s">
        <v>4841</v>
      </c>
      <c r="D5887" s="10" t="s">
        <v>5715</v>
      </c>
      <c r="E5887" s="10" t="str">
        <f>"644020240515102043181010"</f>
        <v>644020240515102043181010</v>
      </c>
      <c r="F5887" s="9"/>
    </row>
    <row r="5888" s="2" customFormat="1" ht="30" customHeight="1" spans="1:6">
      <c r="A5888" s="9">
        <v>5885</v>
      </c>
      <c r="B5888" s="10" t="s">
        <v>4840</v>
      </c>
      <c r="C5888" s="10" t="s">
        <v>4841</v>
      </c>
      <c r="D5888" s="10" t="s">
        <v>5716</v>
      </c>
      <c r="E5888" s="10" t="str">
        <f>"644020240514173319179717"</f>
        <v>644020240514173319179717</v>
      </c>
      <c r="F5888" s="9"/>
    </row>
    <row r="5889" s="2" customFormat="1" ht="30" customHeight="1" spans="1:6">
      <c r="A5889" s="9">
        <v>5886</v>
      </c>
      <c r="B5889" s="10" t="s">
        <v>4840</v>
      </c>
      <c r="C5889" s="10" t="s">
        <v>4841</v>
      </c>
      <c r="D5889" s="10" t="s">
        <v>5717</v>
      </c>
      <c r="E5889" s="10" t="str">
        <f>"644020240515102829181042"</f>
        <v>644020240515102829181042</v>
      </c>
      <c r="F5889" s="9"/>
    </row>
    <row r="5890" s="2" customFormat="1" ht="30" customHeight="1" spans="1:6">
      <c r="A5890" s="9">
        <v>5887</v>
      </c>
      <c r="B5890" s="10" t="s">
        <v>4840</v>
      </c>
      <c r="C5890" s="10" t="s">
        <v>4841</v>
      </c>
      <c r="D5890" s="10" t="s">
        <v>5718</v>
      </c>
      <c r="E5890" s="10" t="str">
        <f>"644020240515104537181099"</f>
        <v>644020240515104537181099</v>
      </c>
      <c r="F5890" s="9"/>
    </row>
    <row r="5891" s="2" customFormat="1" ht="30" customHeight="1" spans="1:6">
      <c r="A5891" s="9">
        <v>5888</v>
      </c>
      <c r="B5891" s="10" t="s">
        <v>4840</v>
      </c>
      <c r="C5891" s="10" t="s">
        <v>4841</v>
      </c>
      <c r="D5891" s="10" t="s">
        <v>5719</v>
      </c>
      <c r="E5891" s="10" t="str">
        <f>"644020240515103400181062"</f>
        <v>644020240515103400181062</v>
      </c>
      <c r="F5891" s="9"/>
    </row>
    <row r="5892" s="2" customFormat="1" ht="30" customHeight="1" spans="1:6">
      <c r="A5892" s="9">
        <v>5889</v>
      </c>
      <c r="B5892" s="10" t="s">
        <v>4840</v>
      </c>
      <c r="C5892" s="10" t="s">
        <v>4841</v>
      </c>
      <c r="D5892" s="10" t="s">
        <v>1255</v>
      </c>
      <c r="E5892" s="10" t="str">
        <f>"644020240515105546181133"</f>
        <v>644020240515105546181133</v>
      </c>
      <c r="F5892" s="9"/>
    </row>
    <row r="5893" s="2" customFormat="1" ht="30" customHeight="1" spans="1:6">
      <c r="A5893" s="9">
        <v>5890</v>
      </c>
      <c r="B5893" s="10" t="s">
        <v>4840</v>
      </c>
      <c r="C5893" s="10" t="s">
        <v>4841</v>
      </c>
      <c r="D5893" s="10" t="s">
        <v>5720</v>
      </c>
      <c r="E5893" s="10" t="str">
        <f>"644020240515105441181127"</f>
        <v>644020240515105441181127</v>
      </c>
      <c r="F5893" s="9"/>
    </row>
    <row r="5894" s="2" customFormat="1" ht="30" customHeight="1" spans="1:6">
      <c r="A5894" s="9">
        <v>5891</v>
      </c>
      <c r="B5894" s="10" t="s">
        <v>4840</v>
      </c>
      <c r="C5894" s="10" t="s">
        <v>4841</v>
      </c>
      <c r="D5894" s="10" t="s">
        <v>5721</v>
      </c>
      <c r="E5894" s="10" t="str">
        <f>"644020240515105951181147"</f>
        <v>644020240515105951181147</v>
      </c>
      <c r="F5894" s="9"/>
    </row>
    <row r="5895" s="2" customFormat="1" ht="30" customHeight="1" spans="1:6">
      <c r="A5895" s="9">
        <v>5892</v>
      </c>
      <c r="B5895" s="10" t="s">
        <v>4840</v>
      </c>
      <c r="C5895" s="10" t="s">
        <v>4841</v>
      </c>
      <c r="D5895" s="10" t="s">
        <v>5722</v>
      </c>
      <c r="E5895" s="10" t="str">
        <f>"644020240514113251178737"</f>
        <v>644020240514113251178737</v>
      </c>
      <c r="F5895" s="9"/>
    </row>
    <row r="5896" s="2" customFormat="1" ht="30" customHeight="1" spans="1:6">
      <c r="A5896" s="9">
        <v>5893</v>
      </c>
      <c r="B5896" s="10" t="s">
        <v>4840</v>
      </c>
      <c r="C5896" s="10" t="s">
        <v>4841</v>
      </c>
      <c r="D5896" s="10" t="s">
        <v>5723</v>
      </c>
      <c r="E5896" s="10" t="str">
        <f>"644020240515105432181126"</f>
        <v>644020240515105432181126</v>
      </c>
      <c r="F5896" s="9"/>
    </row>
    <row r="5897" s="2" customFormat="1" ht="30" customHeight="1" spans="1:6">
      <c r="A5897" s="9">
        <v>5894</v>
      </c>
      <c r="B5897" s="10" t="s">
        <v>4840</v>
      </c>
      <c r="C5897" s="10" t="s">
        <v>4841</v>
      </c>
      <c r="D5897" s="10" t="s">
        <v>5724</v>
      </c>
      <c r="E5897" s="10" t="str">
        <f>"644020240513203734176867"</f>
        <v>644020240513203734176867</v>
      </c>
      <c r="F5897" s="9"/>
    </row>
    <row r="5898" s="2" customFormat="1" ht="30" customHeight="1" spans="1:6">
      <c r="A5898" s="9">
        <v>5895</v>
      </c>
      <c r="B5898" s="10" t="s">
        <v>4840</v>
      </c>
      <c r="C5898" s="10" t="s">
        <v>4841</v>
      </c>
      <c r="D5898" s="10" t="s">
        <v>5725</v>
      </c>
      <c r="E5898" s="10" t="str">
        <f>"644020240515104342181090"</f>
        <v>644020240515104342181090</v>
      </c>
      <c r="F5898" s="9"/>
    </row>
    <row r="5899" s="2" customFormat="1" ht="30" customHeight="1" spans="1:6">
      <c r="A5899" s="9">
        <v>5896</v>
      </c>
      <c r="B5899" s="10" t="s">
        <v>4840</v>
      </c>
      <c r="C5899" s="10" t="s">
        <v>4841</v>
      </c>
      <c r="D5899" s="10" t="s">
        <v>5726</v>
      </c>
      <c r="E5899" s="10" t="str">
        <f>"644020240515111232181188"</f>
        <v>644020240515111232181188</v>
      </c>
      <c r="F5899" s="9"/>
    </row>
    <row r="5900" s="2" customFormat="1" ht="30" customHeight="1" spans="1:6">
      <c r="A5900" s="9">
        <v>5897</v>
      </c>
      <c r="B5900" s="10" t="s">
        <v>4840</v>
      </c>
      <c r="C5900" s="10" t="s">
        <v>4841</v>
      </c>
      <c r="D5900" s="10" t="s">
        <v>5727</v>
      </c>
      <c r="E5900" s="10" t="str">
        <f>"644020240515105951181146"</f>
        <v>644020240515105951181146</v>
      </c>
      <c r="F5900" s="9"/>
    </row>
    <row r="5901" s="2" customFormat="1" ht="30" customHeight="1" spans="1:6">
      <c r="A5901" s="9">
        <v>5898</v>
      </c>
      <c r="B5901" s="10" t="s">
        <v>4840</v>
      </c>
      <c r="C5901" s="10" t="s">
        <v>4841</v>
      </c>
      <c r="D5901" s="10" t="s">
        <v>5728</v>
      </c>
      <c r="E5901" s="10" t="str">
        <f>"644020240513104008173506"</f>
        <v>644020240513104008173506</v>
      </c>
      <c r="F5901" s="9"/>
    </row>
    <row r="5902" s="2" customFormat="1" ht="30" customHeight="1" spans="1:6">
      <c r="A5902" s="9">
        <v>5899</v>
      </c>
      <c r="B5902" s="10" t="s">
        <v>4840</v>
      </c>
      <c r="C5902" s="10" t="s">
        <v>4841</v>
      </c>
      <c r="D5902" s="10" t="s">
        <v>5729</v>
      </c>
      <c r="E5902" s="10" t="str">
        <f>"644020240515111103181180"</f>
        <v>644020240515111103181180</v>
      </c>
      <c r="F5902" s="9"/>
    </row>
    <row r="5903" s="2" customFormat="1" ht="30" customHeight="1" spans="1:6">
      <c r="A5903" s="9">
        <v>5900</v>
      </c>
      <c r="B5903" s="10" t="s">
        <v>4840</v>
      </c>
      <c r="C5903" s="10" t="s">
        <v>4841</v>
      </c>
      <c r="D5903" s="10" t="s">
        <v>5730</v>
      </c>
      <c r="E5903" s="10" t="str">
        <f>"644020240514181322179800"</f>
        <v>644020240514181322179800</v>
      </c>
      <c r="F5903" s="9"/>
    </row>
    <row r="5904" s="2" customFormat="1" ht="30" customHeight="1" spans="1:6">
      <c r="A5904" s="9">
        <v>5901</v>
      </c>
      <c r="B5904" s="10" t="s">
        <v>4840</v>
      </c>
      <c r="C5904" s="10" t="s">
        <v>4841</v>
      </c>
      <c r="D5904" s="10" t="s">
        <v>5731</v>
      </c>
      <c r="E5904" s="10" t="str">
        <f>"644020240513112442173919"</f>
        <v>644020240513112442173919</v>
      </c>
      <c r="F5904" s="9"/>
    </row>
    <row r="5905" s="2" customFormat="1" ht="30" customHeight="1" spans="1:6">
      <c r="A5905" s="9">
        <v>5902</v>
      </c>
      <c r="B5905" s="10" t="s">
        <v>4840</v>
      </c>
      <c r="C5905" s="10" t="s">
        <v>4841</v>
      </c>
      <c r="D5905" s="10" t="s">
        <v>5732</v>
      </c>
      <c r="E5905" s="10" t="str">
        <f>"644020240515112019181210"</f>
        <v>644020240515112019181210</v>
      </c>
      <c r="F5905" s="9"/>
    </row>
    <row r="5906" s="2" customFormat="1" ht="30" customHeight="1" spans="1:6">
      <c r="A5906" s="9">
        <v>5903</v>
      </c>
      <c r="B5906" s="10" t="s">
        <v>4840</v>
      </c>
      <c r="C5906" s="10" t="s">
        <v>4841</v>
      </c>
      <c r="D5906" s="10" t="s">
        <v>5733</v>
      </c>
      <c r="E5906" s="10" t="str">
        <f>"644020240514223156180382"</f>
        <v>644020240514223156180382</v>
      </c>
      <c r="F5906" s="9"/>
    </row>
    <row r="5907" s="2" customFormat="1" ht="30" customHeight="1" spans="1:6">
      <c r="A5907" s="9">
        <v>5904</v>
      </c>
      <c r="B5907" s="10" t="s">
        <v>4840</v>
      </c>
      <c r="C5907" s="10" t="s">
        <v>4841</v>
      </c>
      <c r="D5907" s="10" t="s">
        <v>5734</v>
      </c>
      <c r="E5907" s="10" t="str">
        <f>"644020240515110137181154"</f>
        <v>644020240515110137181154</v>
      </c>
      <c r="F5907" s="9"/>
    </row>
    <row r="5908" s="2" customFormat="1" ht="30" customHeight="1" spans="1:6">
      <c r="A5908" s="9">
        <v>5905</v>
      </c>
      <c r="B5908" s="10" t="s">
        <v>4840</v>
      </c>
      <c r="C5908" s="10" t="s">
        <v>4841</v>
      </c>
      <c r="D5908" s="10" t="s">
        <v>5735</v>
      </c>
      <c r="E5908" s="10" t="str">
        <f>"644020240515113438181257"</f>
        <v>644020240515113438181257</v>
      </c>
      <c r="F5908" s="9"/>
    </row>
    <row r="5909" s="2" customFormat="1" ht="30" customHeight="1" spans="1:6">
      <c r="A5909" s="9">
        <v>5906</v>
      </c>
      <c r="B5909" s="10" t="s">
        <v>4840</v>
      </c>
      <c r="C5909" s="10" t="s">
        <v>4841</v>
      </c>
      <c r="D5909" s="10" t="s">
        <v>5736</v>
      </c>
      <c r="E5909" s="10" t="str">
        <f>"644020240515110412181163"</f>
        <v>644020240515110412181163</v>
      </c>
      <c r="F5909" s="9"/>
    </row>
    <row r="5910" s="2" customFormat="1" ht="30" customHeight="1" spans="1:6">
      <c r="A5910" s="9">
        <v>5907</v>
      </c>
      <c r="B5910" s="10" t="s">
        <v>4840</v>
      </c>
      <c r="C5910" s="10" t="s">
        <v>4841</v>
      </c>
      <c r="D5910" s="10" t="s">
        <v>5737</v>
      </c>
      <c r="E5910" s="10" t="str">
        <f>"644020240512135007169433"</f>
        <v>644020240512135007169433</v>
      </c>
      <c r="F5910" s="9"/>
    </row>
    <row r="5911" s="2" customFormat="1" ht="30" customHeight="1" spans="1:6">
      <c r="A5911" s="9">
        <v>5908</v>
      </c>
      <c r="B5911" s="10" t="s">
        <v>4840</v>
      </c>
      <c r="C5911" s="10" t="s">
        <v>4841</v>
      </c>
      <c r="D5911" s="10" t="s">
        <v>5738</v>
      </c>
      <c r="E5911" s="10" t="str">
        <f>"644020240515103649181073"</f>
        <v>644020240515103649181073</v>
      </c>
      <c r="F5911" s="9"/>
    </row>
    <row r="5912" s="2" customFormat="1" ht="30" customHeight="1" spans="1:6">
      <c r="A5912" s="9">
        <v>5909</v>
      </c>
      <c r="B5912" s="10" t="s">
        <v>4840</v>
      </c>
      <c r="C5912" s="10" t="s">
        <v>4841</v>
      </c>
      <c r="D5912" s="10" t="s">
        <v>5739</v>
      </c>
      <c r="E5912" s="10" t="str">
        <f>"644020240513170419176111"</f>
        <v>644020240513170419176111</v>
      </c>
      <c r="F5912" s="9"/>
    </row>
    <row r="5913" s="2" customFormat="1" ht="30" customHeight="1" spans="1:6">
      <c r="A5913" s="9">
        <v>5910</v>
      </c>
      <c r="B5913" s="10" t="s">
        <v>4840</v>
      </c>
      <c r="C5913" s="10" t="s">
        <v>4841</v>
      </c>
      <c r="D5913" s="10" t="s">
        <v>5740</v>
      </c>
      <c r="E5913" s="10" t="str">
        <f>"644020240515102004181004"</f>
        <v>644020240515102004181004</v>
      </c>
      <c r="F5913" s="9"/>
    </row>
    <row r="5914" s="2" customFormat="1" ht="30" customHeight="1" spans="1:6">
      <c r="A5914" s="9">
        <v>5911</v>
      </c>
      <c r="B5914" s="10" t="s">
        <v>4840</v>
      </c>
      <c r="C5914" s="10" t="s">
        <v>4841</v>
      </c>
      <c r="D5914" s="10" t="s">
        <v>5741</v>
      </c>
      <c r="E5914" s="10" t="str">
        <f>"644020240515083630180712"</f>
        <v>644020240515083630180712</v>
      </c>
      <c r="F5914" s="9"/>
    </row>
    <row r="5915" s="2" customFormat="1" ht="30" customHeight="1" spans="1:6">
      <c r="A5915" s="9">
        <v>5912</v>
      </c>
      <c r="B5915" s="10" t="s">
        <v>4840</v>
      </c>
      <c r="C5915" s="10" t="s">
        <v>4841</v>
      </c>
      <c r="D5915" s="10" t="s">
        <v>5742</v>
      </c>
      <c r="E5915" s="10" t="str">
        <f>"644020240515114750181292"</f>
        <v>644020240515114750181292</v>
      </c>
      <c r="F5915" s="9"/>
    </row>
    <row r="5916" s="2" customFormat="1" ht="30" customHeight="1" spans="1:6">
      <c r="A5916" s="9">
        <v>5913</v>
      </c>
      <c r="B5916" s="10" t="s">
        <v>4840</v>
      </c>
      <c r="C5916" s="10" t="s">
        <v>4841</v>
      </c>
      <c r="D5916" s="10" t="s">
        <v>5743</v>
      </c>
      <c r="E5916" s="10" t="str">
        <f>"644020240513210211176968"</f>
        <v>644020240513210211176968</v>
      </c>
      <c r="F5916" s="9"/>
    </row>
    <row r="5917" s="2" customFormat="1" ht="30" customHeight="1" spans="1:6">
      <c r="A5917" s="9">
        <v>5914</v>
      </c>
      <c r="B5917" s="10" t="s">
        <v>4840</v>
      </c>
      <c r="C5917" s="10" t="s">
        <v>4841</v>
      </c>
      <c r="D5917" s="10" t="s">
        <v>5744</v>
      </c>
      <c r="E5917" s="10" t="str">
        <f>"644020240515115225181303"</f>
        <v>644020240515115225181303</v>
      </c>
      <c r="F5917" s="9"/>
    </row>
    <row r="5918" s="2" customFormat="1" ht="30" customHeight="1" spans="1:6">
      <c r="A5918" s="9">
        <v>5915</v>
      </c>
      <c r="B5918" s="10" t="s">
        <v>4840</v>
      </c>
      <c r="C5918" s="10" t="s">
        <v>4841</v>
      </c>
      <c r="D5918" s="10" t="s">
        <v>5745</v>
      </c>
      <c r="E5918" s="10" t="str">
        <f>"644020240515103027181050"</f>
        <v>644020240515103027181050</v>
      </c>
      <c r="F5918" s="9"/>
    </row>
    <row r="5919" s="2" customFormat="1" ht="30" customHeight="1" spans="1:6">
      <c r="A5919" s="9">
        <v>5916</v>
      </c>
      <c r="B5919" s="10" t="s">
        <v>4840</v>
      </c>
      <c r="C5919" s="10" t="s">
        <v>4841</v>
      </c>
      <c r="D5919" s="10" t="s">
        <v>5746</v>
      </c>
      <c r="E5919" s="10" t="str">
        <f>"644020240514200620179992"</f>
        <v>644020240514200620179992</v>
      </c>
      <c r="F5919" s="9"/>
    </row>
    <row r="5920" s="2" customFormat="1" ht="30" customHeight="1" spans="1:6">
      <c r="A5920" s="9">
        <v>5917</v>
      </c>
      <c r="B5920" s="10" t="s">
        <v>4840</v>
      </c>
      <c r="C5920" s="10" t="s">
        <v>4841</v>
      </c>
      <c r="D5920" s="10" t="s">
        <v>5747</v>
      </c>
      <c r="E5920" s="10" t="str">
        <f>"644020240515111424181195"</f>
        <v>644020240515111424181195</v>
      </c>
      <c r="F5920" s="9"/>
    </row>
    <row r="5921" s="2" customFormat="1" ht="30" customHeight="1" spans="1:6">
      <c r="A5921" s="9">
        <v>5918</v>
      </c>
      <c r="B5921" s="10" t="s">
        <v>4840</v>
      </c>
      <c r="C5921" s="10" t="s">
        <v>4841</v>
      </c>
      <c r="D5921" s="10" t="s">
        <v>5748</v>
      </c>
      <c r="E5921" s="10" t="str">
        <f>"644020240513224104177407"</f>
        <v>644020240513224104177407</v>
      </c>
      <c r="F5921" s="9"/>
    </row>
    <row r="5922" s="2" customFormat="1" ht="30" customHeight="1" spans="1:6">
      <c r="A5922" s="9">
        <v>5919</v>
      </c>
      <c r="B5922" s="10" t="s">
        <v>4840</v>
      </c>
      <c r="C5922" s="10" t="s">
        <v>4841</v>
      </c>
      <c r="D5922" s="10" t="s">
        <v>5749</v>
      </c>
      <c r="E5922" s="10" t="str">
        <f>"644020240515121354181347"</f>
        <v>644020240515121354181347</v>
      </c>
      <c r="F5922" s="9"/>
    </row>
    <row r="5923" s="2" customFormat="1" ht="30" customHeight="1" spans="1:6">
      <c r="A5923" s="9">
        <v>5920</v>
      </c>
      <c r="B5923" s="10" t="s">
        <v>4840</v>
      </c>
      <c r="C5923" s="10" t="s">
        <v>4841</v>
      </c>
      <c r="D5923" s="10" t="s">
        <v>5750</v>
      </c>
      <c r="E5923" s="10" t="str">
        <f>"644020240515093018180857"</f>
        <v>644020240515093018180857</v>
      </c>
      <c r="F5923" s="9"/>
    </row>
    <row r="5924" s="2" customFormat="1" ht="30" customHeight="1" spans="1:6">
      <c r="A5924" s="9">
        <v>5921</v>
      </c>
      <c r="B5924" s="10" t="s">
        <v>4840</v>
      </c>
      <c r="C5924" s="10" t="s">
        <v>4841</v>
      </c>
      <c r="D5924" s="10" t="s">
        <v>5751</v>
      </c>
      <c r="E5924" s="10" t="str">
        <f>"644020240515111107181181"</f>
        <v>644020240515111107181181</v>
      </c>
      <c r="F5924" s="9"/>
    </row>
    <row r="5925" s="2" customFormat="1" ht="30" customHeight="1" spans="1:6">
      <c r="A5925" s="9">
        <v>5922</v>
      </c>
      <c r="B5925" s="10" t="s">
        <v>4840</v>
      </c>
      <c r="C5925" s="10" t="s">
        <v>4841</v>
      </c>
      <c r="D5925" s="10" t="s">
        <v>5752</v>
      </c>
      <c r="E5925" s="10" t="str">
        <f>"644020240512162406169978"</f>
        <v>644020240512162406169978</v>
      </c>
      <c r="F5925" s="9"/>
    </row>
    <row r="5926" s="2" customFormat="1" ht="30" customHeight="1" spans="1:6">
      <c r="A5926" s="9">
        <v>5923</v>
      </c>
      <c r="B5926" s="10" t="s">
        <v>4840</v>
      </c>
      <c r="C5926" s="10" t="s">
        <v>4841</v>
      </c>
      <c r="D5926" s="10" t="s">
        <v>135</v>
      </c>
      <c r="E5926" s="10" t="str">
        <f>"644020240515115240181305"</f>
        <v>644020240515115240181305</v>
      </c>
      <c r="F5926" s="9"/>
    </row>
    <row r="5927" s="2" customFormat="1" ht="30" customHeight="1" spans="1:6">
      <c r="A5927" s="9">
        <v>5924</v>
      </c>
      <c r="B5927" s="10" t="s">
        <v>4840</v>
      </c>
      <c r="C5927" s="10" t="s">
        <v>4841</v>
      </c>
      <c r="D5927" s="10" t="s">
        <v>5753</v>
      </c>
      <c r="E5927" s="10" t="str">
        <f>"644020240515121703181352"</f>
        <v>644020240515121703181352</v>
      </c>
      <c r="F5927" s="9"/>
    </row>
    <row r="5928" s="2" customFormat="1" ht="30" customHeight="1" spans="1:6">
      <c r="A5928" s="9">
        <v>5925</v>
      </c>
      <c r="B5928" s="10" t="s">
        <v>4840</v>
      </c>
      <c r="C5928" s="10" t="s">
        <v>4841</v>
      </c>
      <c r="D5928" s="10" t="s">
        <v>5754</v>
      </c>
      <c r="E5928" s="10" t="str">
        <f>"644020240514095848178260"</f>
        <v>644020240514095848178260</v>
      </c>
      <c r="F5928" s="9"/>
    </row>
    <row r="5929" s="2" customFormat="1" ht="30" customHeight="1" spans="1:6">
      <c r="A5929" s="9">
        <v>5926</v>
      </c>
      <c r="B5929" s="10" t="s">
        <v>4840</v>
      </c>
      <c r="C5929" s="10" t="s">
        <v>4841</v>
      </c>
      <c r="D5929" s="10" t="s">
        <v>5755</v>
      </c>
      <c r="E5929" s="10" t="str">
        <f>"644020240515113328181255"</f>
        <v>644020240515113328181255</v>
      </c>
      <c r="F5929" s="9"/>
    </row>
    <row r="5930" s="2" customFormat="1" ht="30" customHeight="1" spans="1:6">
      <c r="A5930" s="9">
        <v>5927</v>
      </c>
      <c r="B5930" s="10" t="s">
        <v>4840</v>
      </c>
      <c r="C5930" s="10" t="s">
        <v>4841</v>
      </c>
      <c r="D5930" s="10" t="s">
        <v>5553</v>
      </c>
      <c r="E5930" s="10" t="str">
        <f>"644020240513085853172472"</f>
        <v>644020240513085853172472</v>
      </c>
      <c r="F5930" s="9"/>
    </row>
    <row r="5931" s="2" customFormat="1" ht="30" customHeight="1" spans="1:6">
      <c r="A5931" s="9">
        <v>5928</v>
      </c>
      <c r="B5931" s="10" t="s">
        <v>4840</v>
      </c>
      <c r="C5931" s="10" t="s">
        <v>4841</v>
      </c>
      <c r="D5931" s="10" t="s">
        <v>5756</v>
      </c>
      <c r="E5931" s="10" t="str">
        <f>"644020240515123443181379"</f>
        <v>644020240515123443181379</v>
      </c>
      <c r="F5931" s="9"/>
    </row>
    <row r="5932" s="2" customFormat="1" ht="30" customHeight="1" spans="1:6">
      <c r="A5932" s="9">
        <v>5929</v>
      </c>
      <c r="B5932" s="10" t="s">
        <v>4840</v>
      </c>
      <c r="C5932" s="10" t="s">
        <v>4841</v>
      </c>
      <c r="D5932" s="10" t="s">
        <v>5757</v>
      </c>
      <c r="E5932" s="10" t="str">
        <f>"644020240515090916180791"</f>
        <v>644020240515090916180791</v>
      </c>
      <c r="F5932" s="9"/>
    </row>
    <row r="5933" s="2" customFormat="1" ht="30" customHeight="1" spans="1:6">
      <c r="A5933" s="9">
        <v>5930</v>
      </c>
      <c r="B5933" s="10" t="s">
        <v>4840</v>
      </c>
      <c r="C5933" s="10" t="s">
        <v>4841</v>
      </c>
      <c r="D5933" s="10" t="s">
        <v>5758</v>
      </c>
      <c r="E5933" s="10" t="str">
        <f>"644020240513014144172055"</f>
        <v>644020240513014144172055</v>
      </c>
      <c r="F5933" s="9"/>
    </row>
    <row r="5934" s="2" customFormat="1" ht="30" customHeight="1" spans="1:6">
      <c r="A5934" s="9">
        <v>5931</v>
      </c>
      <c r="B5934" s="10" t="s">
        <v>4840</v>
      </c>
      <c r="C5934" s="10" t="s">
        <v>4841</v>
      </c>
      <c r="D5934" s="10" t="s">
        <v>1393</v>
      </c>
      <c r="E5934" s="10" t="str">
        <f>"644020240513181225176377"</f>
        <v>644020240513181225176377</v>
      </c>
      <c r="F5934" s="9"/>
    </row>
    <row r="5935" s="2" customFormat="1" ht="30" customHeight="1" spans="1:6">
      <c r="A5935" s="9">
        <v>5932</v>
      </c>
      <c r="B5935" s="10" t="s">
        <v>4840</v>
      </c>
      <c r="C5935" s="10" t="s">
        <v>4841</v>
      </c>
      <c r="D5935" s="10" t="s">
        <v>5759</v>
      </c>
      <c r="E5935" s="10" t="str">
        <f>"644020240515121359181348"</f>
        <v>644020240515121359181348</v>
      </c>
      <c r="F5935" s="9"/>
    </row>
    <row r="5936" s="2" customFormat="1" ht="30" customHeight="1" spans="1:6">
      <c r="A5936" s="9">
        <v>5933</v>
      </c>
      <c r="B5936" s="10" t="s">
        <v>4840</v>
      </c>
      <c r="C5936" s="10" t="s">
        <v>4841</v>
      </c>
      <c r="D5936" s="10" t="s">
        <v>5760</v>
      </c>
      <c r="E5936" s="10" t="str">
        <f>"644020240515124518181396"</f>
        <v>644020240515124518181396</v>
      </c>
      <c r="F5936" s="9"/>
    </row>
    <row r="5937" s="2" customFormat="1" ht="30" customHeight="1" spans="1:6">
      <c r="A5937" s="9">
        <v>5934</v>
      </c>
      <c r="B5937" s="10" t="s">
        <v>4840</v>
      </c>
      <c r="C5937" s="10" t="s">
        <v>4841</v>
      </c>
      <c r="D5937" s="10" t="s">
        <v>5761</v>
      </c>
      <c r="E5937" s="10" t="str">
        <f>"644020240512173601170238"</f>
        <v>644020240512173601170238</v>
      </c>
      <c r="F5937" s="9"/>
    </row>
    <row r="5938" s="2" customFormat="1" ht="30" customHeight="1" spans="1:6">
      <c r="A5938" s="9">
        <v>5935</v>
      </c>
      <c r="B5938" s="10" t="s">
        <v>4840</v>
      </c>
      <c r="C5938" s="10" t="s">
        <v>4841</v>
      </c>
      <c r="D5938" s="10" t="s">
        <v>5762</v>
      </c>
      <c r="E5938" s="10" t="str">
        <f>"644020240514130155178962"</f>
        <v>644020240514130155178962</v>
      </c>
      <c r="F5938" s="9"/>
    </row>
    <row r="5939" s="2" customFormat="1" ht="30" customHeight="1" spans="1:6">
      <c r="A5939" s="9">
        <v>5936</v>
      </c>
      <c r="B5939" s="10" t="s">
        <v>4840</v>
      </c>
      <c r="C5939" s="10" t="s">
        <v>4841</v>
      </c>
      <c r="D5939" s="10" t="s">
        <v>5763</v>
      </c>
      <c r="E5939" s="10" t="str">
        <f>"644020240515124418181393"</f>
        <v>644020240515124418181393</v>
      </c>
      <c r="F5939" s="9"/>
    </row>
    <row r="5940" s="2" customFormat="1" ht="30" customHeight="1" spans="1:6">
      <c r="A5940" s="9">
        <v>5937</v>
      </c>
      <c r="B5940" s="10" t="s">
        <v>4840</v>
      </c>
      <c r="C5940" s="10" t="s">
        <v>4841</v>
      </c>
      <c r="D5940" s="10" t="s">
        <v>5764</v>
      </c>
      <c r="E5940" s="10" t="str">
        <f>"644020240515130659181428"</f>
        <v>644020240515130659181428</v>
      </c>
      <c r="F5940" s="9"/>
    </row>
    <row r="5941" s="2" customFormat="1" ht="30" customHeight="1" spans="1:6">
      <c r="A5941" s="9">
        <v>5938</v>
      </c>
      <c r="B5941" s="10" t="s">
        <v>4840</v>
      </c>
      <c r="C5941" s="10" t="s">
        <v>4841</v>
      </c>
      <c r="D5941" s="10" t="s">
        <v>5765</v>
      </c>
      <c r="E5941" s="10" t="str">
        <f>"644020240512103946168621"</f>
        <v>644020240512103946168621</v>
      </c>
      <c r="F5941" s="9"/>
    </row>
    <row r="5942" s="2" customFormat="1" ht="30" customHeight="1" spans="1:6">
      <c r="A5942" s="9">
        <v>5939</v>
      </c>
      <c r="B5942" s="10" t="s">
        <v>4840</v>
      </c>
      <c r="C5942" s="10" t="s">
        <v>4841</v>
      </c>
      <c r="D5942" s="10" t="s">
        <v>5766</v>
      </c>
      <c r="E5942" s="10" t="str">
        <f>"644020240515130110181417"</f>
        <v>644020240515130110181417</v>
      </c>
      <c r="F5942" s="9"/>
    </row>
    <row r="5943" s="2" customFormat="1" ht="30" customHeight="1" spans="1:6">
      <c r="A5943" s="9">
        <v>5940</v>
      </c>
      <c r="B5943" s="10" t="s">
        <v>4840</v>
      </c>
      <c r="C5943" s="10" t="s">
        <v>4841</v>
      </c>
      <c r="D5943" s="10" t="s">
        <v>5767</v>
      </c>
      <c r="E5943" s="10" t="str">
        <f>"644020240515130921181433"</f>
        <v>644020240515130921181433</v>
      </c>
      <c r="F5943" s="9"/>
    </row>
    <row r="5944" s="2" customFormat="1" ht="30" customHeight="1" spans="1:6">
      <c r="A5944" s="9">
        <v>5941</v>
      </c>
      <c r="B5944" s="10" t="s">
        <v>4840</v>
      </c>
      <c r="C5944" s="10" t="s">
        <v>4841</v>
      </c>
      <c r="D5944" s="10" t="s">
        <v>5768</v>
      </c>
      <c r="E5944" s="10" t="str">
        <f>"644020240513124239174378"</f>
        <v>644020240513124239174378</v>
      </c>
      <c r="F5944" s="9"/>
    </row>
    <row r="5945" s="2" customFormat="1" ht="30" customHeight="1" spans="1:6">
      <c r="A5945" s="9">
        <v>5942</v>
      </c>
      <c r="B5945" s="10" t="s">
        <v>4840</v>
      </c>
      <c r="C5945" s="10" t="s">
        <v>4841</v>
      </c>
      <c r="D5945" s="10" t="s">
        <v>5769</v>
      </c>
      <c r="E5945" s="10" t="str">
        <f>"644020240515131314181442"</f>
        <v>644020240515131314181442</v>
      </c>
      <c r="F5945" s="9"/>
    </row>
    <row r="5946" s="2" customFormat="1" ht="30" customHeight="1" spans="1:6">
      <c r="A5946" s="9">
        <v>5943</v>
      </c>
      <c r="B5946" s="10" t="s">
        <v>4840</v>
      </c>
      <c r="C5946" s="10" t="s">
        <v>4841</v>
      </c>
      <c r="D5946" s="10" t="s">
        <v>5770</v>
      </c>
      <c r="E5946" s="10" t="str">
        <f>"644020240513120816174179"</f>
        <v>644020240513120816174179</v>
      </c>
      <c r="F5946" s="9"/>
    </row>
    <row r="5947" s="2" customFormat="1" ht="30" customHeight="1" spans="1:6">
      <c r="A5947" s="9">
        <v>5944</v>
      </c>
      <c r="B5947" s="10" t="s">
        <v>4840</v>
      </c>
      <c r="C5947" s="10" t="s">
        <v>4841</v>
      </c>
      <c r="D5947" s="10" t="s">
        <v>5771</v>
      </c>
      <c r="E5947" s="10" t="str">
        <f>"644020240515134733181496"</f>
        <v>644020240515134733181496</v>
      </c>
      <c r="F5947" s="9"/>
    </row>
    <row r="5948" s="2" customFormat="1" ht="30" customHeight="1" spans="1:6">
      <c r="A5948" s="9">
        <v>5945</v>
      </c>
      <c r="B5948" s="10" t="s">
        <v>4840</v>
      </c>
      <c r="C5948" s="10" t="s">
        <v>4841</v>
      </c>
      <c r="D5948" s="10" t="s">
        <v>5772</v>
      </c>
      <c r="E5948" s="10" t="str">
        <f>"644020240515133918181482"</f>
        <v>644020240515133918181482</v>
      </c>
      <c r="F5948" s="9"/>
    </row>
    <row r="5949" s="2" customFormat="1" ht="30" customHeight="1" spans="1:6">
      <c r="A5949" s="9">
        <v>5946</v>
      </c>
      <c r="B5949" s="10" t="s">
        <v>4840</v>
      </c>
      <c r="C5949" s="10" t="s">
        <v>4841</v>
      </c>
      <c r="D5949" s="10" t="s">
        <v>5773</v>
      </c>
      <c r="E5949" s="10" t="str">
        <f>"644020240515141223181529"</f>
        <v>644020240515141223181529</v>
      </c>
      <c r="F5949" s="9"/>
    </row>
    <row r="5950" s="2" customFormat="1" ht="30" customHeight="1" spans="1:6">
      <c r="A5950" s="9">
        <v>5947</v>
      </c>
      <c r="B5950" s="10" t="s">
        <v>4840</v>
      </c>
      <c r="C5950" s="10" t="s">
        <v>4841</v>
      </c>
      <c r="D5950" s="10" t="s">
        <v>5774</v>
      </c>
      <c r="E5950" s="10" t="str">
        <f>"644020240512092333168211"</f>
        <v>644020240512092333168211</v>
      </c>
      <c r="F5950" s="9"/>
    </row>
    <row r="5951" s="2" customFormat="1" ht="30" customHeight="1" spans="1:6">
      <c r="A5951" s="9">
        <v>5948</v>
      </c>
      <c r="B5951" s="10" t="s">
        <v>4840</v>
      </c>
      <c r="C5951" s="10" t="s">
        <v>4841</v>
      </c>
      <c r="D5951" s="10" t="s">
        <v>5775</v>
      </c>
      <c r="E5951" s="10" t="str">
        <f>"644020240513183301176434"</f>
        <v>644020240513183301176434</v>
      </c>
      <c r="F5951" s="9"/>
    </row>
    <row r="5952" s="2" customFormat="1" ht="30" customHeight="1" spans="1:6">
      <c r="A5952" s="9">
        <v>5949</v>
      </c>
      <c r="B5952" s="10" t="s">
        <v>4840</v>
      </c>
      <c r="C5952" s="10" t="s">
        <v>4841</v>
      </c>
      <c r="D5952" s="10" t="s">
        <v>5776</v>
      </c>
      <c r="E5952" s="10" t="str">
        <f>"644020240515135324181510"</f>
        <v>644020240515135324181510</v>
      </c>
      <c r="F5952" s="9"/>
    </row>
    <row r="5953" s="2" customFormat="1" ht="30" customHeight="1" spans="1:6">
      <c r="A5953" s="9">
        <v>5950</v>
      </c>
      <c r="B5953" s="10" t="s">
        <v>4840</v>
      </c>
      <c r="C5953" s="10" t="s">
        <v>4841</v>
      </c>
      <c r="D5953" s="10" t="s">
        <v>1455</v>
      </c>
      <c r="E5953" s="10" t="str">
        <f>"644020240515141728181541"</f>
        <v>644020240515141728181541</v>
      </c>
      <c r="F5953" s="9"/>
    </row>
    <row r="5954" s="2" customFormat="1" ht="30" customHeight="1" spans="1:6">
      <c r="A5954" s="9">
        <v>5951</v>
      </c>
      <c r="B5954" s="10" t="s">
        <v>4840</v>
      </c>
      <c r="C5954" s="10" t="s">
        <v>4841</v>
      </c>
      <c r="D5954" s="10" t="s">
        <v>5777</v>
      </c>
      <c r="E5954" s="10" t="str">
        <f>"644020240515133812181478"</f>
        <v>644020240515133812181478</v>
      </c>
      <c r="F5954" s="9"/>
    </row>
    <row r="5955" s="2" customFormat="1" ht="30" customHeight="1" spans="1:6">
      <c r="A5955" s="9">
        <v>5952</v>
      </c>
      <c r="B5955" s="10" t="s">
        <v>4840</v>
      </c>
      <c r="C5955" s="10" t="s">
        <v>4841</v>
      </c>
      <c r="D5955" s="10" t="s">
        <v>1007</v>
      </c>
      <c r="E5955" s="10" t="str">
        <f>"644020240515084639180733"</f>
        <v>644020240515084639180733</v>
      </c>
      <c r="F5955" s="9"/>
    </row>
    <row r="5956" s="2" customFormat="1" ht="30" customHeight="1" spans="1:6">
      <c r="A5956" s="9">
        <v>5953</v>
      </c>
      <c r="B5956" s="10" t="s">
        <v>4840</v>
      </c>
      <c r="C5956" s="10" t="s">
        <v>4841</v>
      </c>
      <c r="D5956" s="10" t="s">
        <v>5778</v>
      </c>
      <c r="E5956" s="10" t="str">
        <f>"644020240515101455180989"</f>
        <v>644020240515101455180989</v>
      </c>
      <c r="F5956" s="9"/>
    </row>
    <row r="5957" s="2" customFormat="1" ht="30" customHeight="1" spans="1:6">
      <c r="A5957" s="9">
        <v>5954</v>
      </c>
      <c r="B5957" s="10" t="s">
        <v>4840</v>
      </c>
      <c r="C5957" s="10" t="s">
        <v>4841</v>
      </c>
      <c r="D5957" s="10" t="s">
        <v>5779</v>
      </c>
      <c r="E5957" s="10" t="str">
        <f>"644020240515113641181261"</f>
        <v>644020240515113641181261</v>
      </c>
      <c r="F5957" s="9"/>
    </row>
    <row r="5958" s="2" customFormat="1" ht="30" customHeight="1" spans="1:6">
      <c r="A5958" s="9">
        <v>5955</v>
      </c>
      <c r="B5958" s="10" t="s">
        <v>4840</v>
      </c>
      <c r="C5958" s="10" t="s">
        <v>4841</v>
      </c>
      <c r="D5958" s="10" t="s">
        <v>5780</v>
      </c>
      <c r="E5958" s="10" t="str">
        <f>"644020240515142610181555"</f>
        <v>644020240515142610181555</v>
      </c>
      <c r="F5958" s="9"/>
    </row>
    <row r="5959" s="2" customFormat="1" ht="30" customHeight="1" spans="1:6">
      <c r="A5959" s="9">
        <v>5956</v>
      </c>
      <c r="B5959" s="10" t="s">
        <v>4840</v>
      </c>
      <c r="C5959" s="10" t="s">
        <v>4841</v>
      </c>
      <c r="D5959" s="10" t="s">
        <v>5781</v>
      </c>
      <c r="E5959" s="10" t="str">
        <f>"644020240515144048181577"</f>
        <v>644020240515144048181577</v>
      </c>
      <c r="F5959" s="9"/>
    </row>
    <row r="5960" s="2" customFormat="1" ht="30" customHeight="1" spans="1:6">
      <c r="A5960" s="9">
        <v>5957</v>
      </c>
      <c r="B5960" s="10" t="s">
        <v>4840</v>
      </c>
      <c r="C5960" s="10" t="s">
        <v>4841</v>
      </c>
      <c r="D5960" s="10" t="s">
        <v>5782</v>
      </c>
      <c r="E5960" s="10" t="str">
        <f>"644020240515144333181584"</f>
        <v>644020240515144333181584</v>
      </c>
      <c r="F5960" s="9"/>
    </row>
    <row r="5961" s="2" customFormat="1" ht="30" customHeight="1" spans="1:6">
      <c r="A5961" s="9">
        <v>5958</v>
      </c>
      <c r="B5961" s="10" t="s">
        <v>4840</v>
      </c>
      <c r="C5961" s="10" t="s">
        <v>4841</v>
      </c>
      <c r="D5961" s="10" t="s">
        <v>5783</v>
      </c>
      <c r="E5961" s="10" t="str">
        <f>"644020240515150931181640"</f>
        <v>644020240515150931181640</v>
      </c>
      <c r="F5961" s="9"/>
    </row>
    <row r="5962" s="2" customFormat="1" ht="30" customHeight="1" spans="1:6">
      <c r="A5962" s="9">
        <v>5959</v>
      </c>
      <c r="B5962" s="10" t="s">
        <v>4840</v>
      </c>
      <c r="C5962" s="10" t="s">
        <v>4841</v>
      </c>
      <c r="D5962" s="10" t="s">
        <v>5784</v>
      </c>
      <c r="E5962" s="10" t="str">
        <f>"644020240515144500181588"</f>
        <v>644020240515144500181588</v>
      </c>
      <c r="F5962" s="9"/>
    </row>
    <row r="5963" s="2" customFormat="1" ht="30" customHeight="1" spans="1:6">
      <c r="A5963" s="9">
        <v>5960</v>
      </c>
      <c r="B5963" s="10" t="s">
        <v>4840</v>
      </c>
      <c r="C5963" s="10" t="s">
        <v>4841</v>
      </c>
      <c r="D5963" s="10" t="s">
        <v>5785</v>
      </c>
      <c r="E5963" s="10" t="str">
        <f>"644020240515145516181607"</f>
        <v>644020240515145516181607</v>
      </c>
      <c r="F5963" s="9"/>
    </row>
    <row r="5964" s="2" customFormat="1" ht="30" customHeight="1" spans="1:6">
      <c r="A5964" s="9">
        <v>5961</v>
      </c>
      <c r="B5964" s="10" t="s">
        <v>4840</v>
      </c>
      <c r="C5964" s="10" t="s">
        <v>4841</v>
      </c>
      <c r="D5964" s="10" t="s">
        <v>5786</v>
      </c>
      <c r="E5964" s="10" t="str">
        <f>"644020240515150111181619"</f>
        <v>644020240515150111181619</v>
      </c>
      <c r="F5964" s="9"/>
    </row>
    <row r="5965" s="2" customFormat="1" ht="30" customHeight="1" spans="1:6">
      <c r="A5965" s="9">
        <v>5962</v>
      </c>
      <c r="B5965" s="10" t="s">
        <v>4840</v>
      </c>
      <c r="C5965" s="10" t="s">
        <v>4841</v>
      </c>
      <c r="D5965" s="10" t="s">
        <v>5787</v>
      </c>
      <c r="E5965" s="10" t="str">
        <f>"644020240514223521180390"</f>
        <v>644020240514223521180390</v>
      </c>
      <c r="F5965" s="9"/>
    </row>
    <row r="5966" s="2" customFormat="1" ht="30" customHeight="1" spans="1:6">
      <c r="A5966" s="9">
        <v>5963</v>
      </c>
      <c r="B5966" s="10" t="s">
        <v>4840</v>
      </c>
      <c r="C5966" s="10" t="s">
        <v>4841</v>
      </c>
      <c r="D5966" s="10" t="s">
        <v>5788</v>
      </c>
      <c r="E5966" s="10" t="str">
        <f>"644020240514154235179346"</f>
        <v>644020240514154235179346</v>
      </c>
      <c r="F5966" s="9"/>
    </row>
    <row r="5967" s="2" customFormat="1" ht="30" customHeight="1" spans="1:6">
      <c r="A5967" s="9">
        <v>5964</v>
      </c>
      <c r="B5967" s="10" t="s">
        <v>4840</v>
      </c>
      <c r="C5967" s="10" t="s">
        <v>4841</v>
      </c>
      <c r="D5967" s="10" t="s">
        <v>5789</v>
      </c>
      <c r="E5967" s="10" t="str">
        <f>"644020240515151236181645"</f>
        <v>644020240515151236181645</v>
      </c>
      <c r="F5967" s="9"/>
    </row>
    <row r="5968" s="2" customFormat="1" ht="30" customHeight="1" spans="1:6">
      <c r="A5968" s="9">
        <v>5965</v>
      </c>
      <c r="B5968" s="10" t="s">
        <v>4840</v>
      </c>
      <c r="C5968" s="10" t="s">
        <v>4841</v>
      </c>
      <c r="D5968" s="10" t="s">
        <v>5790</v>
      </c>
      <c r="E5968" s="10" t="str">
        <f>"644020240515151610181654"</f>
        <v>644020240515151610181654</v>
      </c>
      <c r="F5968" s="9"/>
    </row>
    <row r="5969" s="2" customFormat="1" ht="30" customHeight="1" spans="1:6">
      <c r="A5969" s="9">
        <v>5966</v>
      </c>
      <c r="B5969" s="10" t="s">
        <v>4840</v>
      </c>
      <c r="C5969" s="10" t="s">
        <v>4841</v>
      </c>
      <c r="D5969" s="10" t="s">
        <v>5791</v>
      </c>
      <c r="E5969" s="10" t="str">
        <f>"644020240513093531172862"</f>
        <v>644020240513093531172862</v>
      </c>
      <c r="F5969" s="9"/>
    </row>
    <row r="5970" s="2" customFormat="1" ht="30" customHeight="1" spans="1:6">
      <c r="A5970" s="9">
        <v>5967</v>
      </c>
      <c r="B5970" s="10" t="s">
        <v>4840</v>
      </c>
      <c r="C5970" s="10" t="s">
        <v>4841</v>
      </c>
      <c r="D5970" s="10" t="s">
        <v>5792</v>
      </c>
      <c r="E5970" s="10" t="str">
        <f>"644020240515151116181643"</f>
        <v>644020240515151116181643</v>
      </c>
      <c r="F5970" s="9"/>
    </row>
    <row r="5971" s="2" customFormat="1" ht="30" customHeight="1" spans="1:6">
      <c r="A5971" s="9">
        <v>5968</v>
      </c>
      <c r="B5971" s="10" t="s">
        <v>4840</v>
      </c>
      <c r="C5971" s="10" t="s">
        <v>4841</v>
      </c>
      <c r="D5971" s="10" t="s">
        <v>5793</v>
      </c>
      <c r="E5971" s="10" t="str">
        <f>"644020240515145457181605"</f>
        <v>644020240515145457181605</v>
      </c>
      <c r="F5971" s="9"/>
    </row>
    <row r="5972" s="2" customFormat="1" ht="30" customHeight="1" spans="1:6">
      <c r="A5972" s="9">
        <v>5969</v>
      </c>
      <c r="B5972" s="10" t="s">
        <v>4840</v>
      </c>
      <c r="C5972" s="10" t="s">
        <v>4841</v>
      </c>
      <c r="D5972" s="10" t="s">
        <v>5794</v>
      </c>
      <c r="E5972" s="10" t="str">
        <f>"644020240515153047181699"</f>
        <v>644020240515153047181699</v>
      </c>
      <c r="F5972" s="9"/>
    </row>
    <row r="5973" s="2" customFormat="1" ht="30" customHeight="1" spans="1:6">
      <c r="A5973" s="9">
        <v>5970</v>
      </c>
      <c r="B5973" s="10" t="s">
        <v>4840</v>
      </c>
      <c r="C5973" s="10" t="s">
        <v>4841</v>
      </c>
      <c r="D5973" s="10" t="s">
        <v>5795</v>
      </c>
      <c r="E5973" s="10" t="str">
        <f>"644020240515102545181027"</f>
        <v>644020240515102545181027</v>
      </c>
      <c r="F5973" s="9"/>
    </row>
    <row r="5974" s="2" customFormat="1" ht="30" customHeight="1" spans="1:6">
      <c r="A5974" s="9">
        <v>5971</v>
      </c>
      <c r="B5974" s="10" t="s">
        <v>4840</v>
      </c>
      <c r="C5974" s="10" t="s">
        <v>4841</v>
      </c>
      <c r="D5974" s="10" t="s">
        <v>5796</v>
      </c>
      <c r="E5974" s="10" t="str">
        <f>"644020240515144455181587"</f>
        <v>644020240515144455181587</v>
      </c>
      <c r="F5974" s="9"/>
    </row>
    <row r="5975" s="2" customFormat="1" ht="30" customHeight="1" spans="1:6">
      <c r="A5975" s="9">
        <v>5972</v>
      </c>
      <c r="B5975" s="10" t="s">
        <v>4840</v>
      </c>
      <c r="C5975" s="10" t="s">
        <v>4841</v>
      </c>
      <c r="D5975" s="10" t="s">
        <v>5797</v>
      </c>
      <c r="E5975" s="10" t="str">
        <f>"644020240513102116173317"</f>
        <v>644020240513102116173317</v>
      </c>
      <c r="F5975" s="9"/>
    </row>
    <row r="5976" s="2" customFormat="1" ht="30" customHeight="1" spans="1:6">
      <c r="A5976" s="9">
        <v>5973</v>
      </c>
      <c r="B5976" s="10" t="s">
        <v>4840</v>
      </c>
      <c r="C5976" s="10" t="s">
        <v>4841</v>
      </c>
      <c r="D5976" s="10" t="s">
        <v>5798</v>
      </c>
      <c r="E5976" s="10" t="str">
        <f>"644020240515133809181477"</f>
        <v>644020240515133809181477</v>
      </c>
      <c r="F5976" s="9"/>
    </row>
    <row r="5977" s="2" customFormat="1" ht="30" customHeight="1" spans="1:6">
      <c r="A5977" s="9">
        <v>5974</v>
      </c>
      <c r="B5977" s="10" t="s">
        <v>4840</v>
      </c>
      <c r="C5977" s="10" t="s">
        <v>4841</v>
      </c>
      <c r="D5977" s="10" t="s">
        <v>1376</v>
      </c>
      <c r="E5977" s="10" t="str">
        <f>"644020240515154803181744"</f>
        <v>644020240515154803181744</v>
      </c>
      <c r="F5977" s="9"/>
    </row>
    <row r="5978" s="2" customFormat="1" ht="30" customHeight="1" spans="1:6">
      <c r="A5978" s="9">
        <v>5975</v>
      </c>
      <c r="B5978" s="10" t="s">
        <v>4840</v>
      </c>
      <c r="C5978" s="10" t="s">
        <v>4841</v>
      </c>
      <c r="D5978" s="10" t="s">
        <v>5799</v>
      </c>
      <c r="E5978" s="10" t="str">
        <f>"644020240515145533181608"</f>
        <v>644020240515145533181608</v>
      </c>
      <c r="F5978" s="9"/>
    </row>
    <row r="5979" s="2" customFormat="1" ht="30" customHeight="1" spans="1:6">
      <c r="A5979" s="9">
        <v>5976</v>
      </c>
      <c r="B5979" s="10" t="s">
        <v>4840</v>
      </c>
      <c r="C5979" s="10" t="s">
        <v>4841</v>
      </c>
      <c r="D5979" s="10" t="s">
        <v>5800</v>
      </c>
      <c r="E5979" s="10" t="str">
        <f>"644020240515104631181102"</f>
        <v>644020240515104631181102</v>
      </c>
      <c r="F5979" s="9"/>
    </row>
    <row r="5980" s="2" customFormat="1" ht="30" customHeight="1" spans="1:6">
      <c r="A5980" s="9">
        <v>5977</v>
      </c>
      <c r="B5980" s="10" t="s">
        <v>4840</v>
      </c>
      <c r="C5980" s="10" t="s">
        <v>4841</v>
      </c>
      <c r="D5980" s="10" t="s">
        <v>5801</v>
      </c>
      <c r="E5980" s="10" t="str">
        <f>"644020240515160032181779"</f>
        <v>644020240515160032181779</v>
      </c>
      <c r="F5980" s="9"/>
    </row>
    <row r="5981" s="2" customFormat="1" ht="30" customHeight="1" spans="1:6">
      <c r="A5981" s="9">
        <v>5978</v>
      </c>
      <c r="B5981" s="10" t="s">
        <v>4840</v>
      </c>
      <c r="C5981" s="10" t="s">
        <v>4841</v>
      </c>
      <c r="D5981" s="10" t="s">
        <v>5802</v>
      </c>
      <c r="E5981" s="10" t="str">
        <f>"644020240513093655172880"</f>
        <v>644020240513093655172880</v>
      </c>
      <c r="F5981" s="9"/>
    </row>
    <row r="5982" s="2" customFormat="1" ht="30" customHeight="1" spans="1:6">
      <c r="A5982" s="9">
        <v>5979</v>
      </c>
      <c r="B5982" s="10" t="s">
        <v>4840</v>
      </c>
      <c r="C5982" s="10" t="s">
        <v>4841</v>
      </c>
      <c r="D5982" s="10" t="s">
        <v>5803</v>
      </c>
      <c r="E5982" s="10" t="str">
        <f>"644020240513211623177030"</f>
        <v>644020240513211623177030</v>
      </c>
      <c r="F5982" s="9"/>
    </row>
    <row r="5983" s="2" customFormat="1" ht="30" customHeight="1" spans="1:6">
      <c r="A5983" s="9">
        <v>5980</v>
      </c>
      <c r="B5983" s="10" t="s">
        <v>4840</v>
      </c>
      <c r="C5983" s="10" t="s">
        <v>4841</v>
      </c>
      <c r="D5983" s="10" t="s">
        <v>5804</v>
      </c>
      <c r="E5983" s="10" t="str">
        <f>"644020240515155928181775"</f>
        <v>644020240515155928181775</v>
      </c>
      <c r="F5983" s="9"/>
    </row>
    <row r="5984" s="2" customFormat="1" ht="30" customHeight="1" spans="1:6">
      <c r="A5984" s="9">
        <v>5981</v>
      </c>
      <c r="B5984" s="10" t="s">
        <v>4840</v>
      </c>
      <c r="C5984" s="10" t="s">
        <v>4841</v>
      </c>
      <c r="D5984" s="10" t="s">
        <v>5805</v>
      </c>
      <c r="E5984" s="10" t="str">
        <f>"644020240515154156181728"</f>
        <v>644020240515154156181728</v>
      </c>
      <c r="F5984" s="9"/>
    </row>
    <row r="5985" s="2" customFormat="1" ht="30" customHeight="1" spans="1:6">
      <c r="A5985" s="9">
        <v>5982</v>
      </c>
      <c r="B5985" s="10" t="s">
        <v>4840</v>
      </c>
      <c r="C5985" s="10" t="s">
        <v>4841</v>
      </c>
      <c r="D5985" s="10" t="s">
        <v>5806</v>
      </c>
      <c r="E5985" s="10" t="str">
        <f>"644020240515160754181801"</f>
        <v>644020240515160754181801</v>
      </c>
      <c r="F5985" s="9"/>
    </row>
    <row r="5986" s="2" customFormat="1" ht="30" customHeight="1" spans="1:6">
      <c r="A5986" s="9">
        <v>5983</v>
      </c>
      <c r="B5986" s="10" t="s">
        <v>4840</v>
      </c>
      <c r="C5986" s="10" t="s">
        <v>4841</v>
      </c>
      <c r="D5986" s="10" t="s">
        <v>5807</v>
      </c>
      <c r="E5986" s="10" t="str">
        <f>"644020240515162546181848"</f>
        <v>644020240515162546181848</v>
      </c>
      <c r="F5986" s="9"/>
    </row>
    <row r="5987" s="2" customFormat="1" ht="30" customHeight="1" spans="1:6">
      <c r="A5987" s="9">
        <v>5984</v>
      </c>
      <c r="B5987" s="10" t="s">
        <v>4840</v>
      </c>
      <c r="C5987" s="10" t="s">
        <v>4841</v>
      </c>
      <c r="D5987" s="10" t="s">
        <v>5808</v>
      </c>
      <c r="E5987" s="10" t="str">
        <f>"644020240514160058179402"</f>
        <v>644020240514160058179402</v>
      </c>
      <c r="F5987" s="9"/>
    </row>
    <row r="5988" s="2" customFormat="1" ht="30" customHeight="1" spans="1:6">
      <c r="A5988" s="9">
        <v>5985</v>
      </c>
      <c r="B5988" s="10" t="s">
        <v>4840</v>
      </c>
      <c r="C5988" s="10" t="s">
        <v>4841</v>
      </c>
      <c r="D5988" s="10" t="s">
        <v>5809</v>
      </c>
      <c r="E5988" s="10" t="str">
        <f>"644020240513113011173963"</f>
        <v>644020240513113011173963</v>
      </c>
      <c r="F5988" s="9"/>
    </row>
    <row r="5989" s="2" customFormat="1" ht="30" customHeight="1" spans="1:6">
      <c r="A5989" s="9">
        <v>5986</v>
      </c>
      <c r="B5989" s="10" t="s">
        <v>4840</v>
      </c>
      <c r="C5989" s="10" t="s">
        <v>4841</v>
      </c>
      <c r="D5989" s="10" t="s">
        <v>5810</v>
      </c>
      <c r="E5989" s="10" t="str">
        <f>"644020240514185850179884"</f>
        <v>644020240514185850179884</v>
      </c>
      <c r="F5989" s="9"/>
    </row>
    <row r="5990" s="2" customFormat="1" ht="30" customHeight="1" spans="1:6">
      <c r="A5990" s="9">
        <v>5987</v>
      </c>
      <c r="B5990" s="10" t="s">
        <v>4840</v>
      </c>
      <c r="C5990" s="10" t="s">
        <v>4841</v>
      </c>
      <c r="D5990" s="10" t="s">
        <v>5811</v>
      </c>
      <c r="E5990" s="10" t="str">
        <f>"644020240515160209181785"</f>
        <v>644020240515160209181785</v>
      </c>
      <c r="F5990" s="9"/>
    </row>
    <row r="5991" s="2" customFormat="1" ht="30" customHeight="1" spans="1:6">
      <c r="A5991" s="9">
        <v>5988</v>
      </c>
      <c r="B5991" s="10" t="s">
        <v>4840</v>
      </c>
      <c r="C5991" s="10" t="s">
        <v>4841</v>
      </c>
      <c r="D5991" s="10" t="s">
        <v>5812</v>
      </c>
      <c r="E5991" s="10" t="str">
        <f>"644020240515160924181804"</f>
        <v>644020240515160924181804</v>
      </c>
      <c r="F5991" s="9"/>
    </row>
    <row r="5992" s="2" customFormat="1" ht="30" customHeight="1" spans="1:6">
      <c r="A5992" s="9">
        <v>5989</v>
      </c>
      <c r="B5992" s="10" t="s">
        <v>4840</v>
      </c>
      <c r="C5992" s="10" t="s">
        <v>4841</v>
      </c>
      <c r="D5992" s="10" t="s">
        <v>5813</v>
      </c>
      <c r="E5992" s="10" t="str">
        <f>"644020240515160925181805"</f>
        <v>644020240515160925181805</v>
      </c>
      <c r="F5992" s="9"/>
    </row>
    <row r="5993" s="2" customFormat="1" ht="30" customHeight="1" spans="1:6">
      <c r="A5993" s="9">
        <v>5990</v>
      </c>
      <c r="B5993" s="10" t="s">
        <v>4840</v>
      </c>
      <c r="C5993" s="10" t="s">
        <v>4841</v>
      </c>
      <c r="D5993" s="10" t="s">
        <v>5814</v>
      </c>
      <c r="E5993" s="10" t="str">
        <f>"644020240514103344178455"</f>
        <v>644020240514103344178455</v>
      </c>
      <c r="F5993" s="9"/>
    </row>
    <row r="5994" s="2" customFormat="1" ht="30" customHeight="1" spans="1:6">
      <c r="A5994" s="9">
        <v>5991</v>
      </c>
      <c r="B5994" s="10" t="s">
        <v>4840</v>
      </c>
      <c r="C5994" s="10" t="s">
        <v>4841</v>
      </c>
      <c r="D5994" s="10" t="s">
        <v>5815</v>
      </c>
      <c r="E5994" s="10" t="str">
        <f>"644020240515163406181867"</f>
        <v>644020240515163406181867</v>
      </c>
      <c r="F5994" s="9"/>
    </row>
    <row r="5995" s="2" customFormat="1" ht="30" customHeight="1" spans="1:6">
      <c r="A5995" s="9">
        <v>5992</v>
      </c>
      <c r="B5995" s="10" t="s">
        <v>4840</v>
      </c>
      <c r="C5995" s="10" t="s">
        <v>4841</v>
      </c>
      <c r="D5995" s="10" t="s">
        <v>5816</v>
      </c>
      <c r="E5995" s="10" t="str">
        <f>"644020240515153004181696"</f>
        <v>644020240515153004181696</v>
      </c>
      <c r="F5995" s="9"/>
    </row>
    <row r="5996" s="2" customFormat="1" ht="30" customHeight="1" spans="1:6">
      <c r="A5996" s="9">
        <v>5993</v>
      </c>
      <c r="B5996" s="10" t="s">
        <v>4840</v>
      </c>
      <c r="C5996" s="10" t="s">
        <v>4841</v>
      </c>
      <c r="D5996" s="10" t="s">
        <v>5817</v>
      </c>
      <c r="E5996" s="10" t="str">
        <f>"644020240513164701176033"</f>
        <v>644020240513164701176033</v>
      </c>
      <c r="F5996" s="9"/>
    </row>
    <row r="5997" s="2" customFormat="1" ht="30" customHeight="1" spans="1:6">
      <c r="A5997" s="9">
        <v>5994</v>
      </c>
      <c r="B5997" s="10" t="s">
        <v>4840</v>
      </c>
      <c r="C5997" s="10" t="s">
        <v>4841</v>
      </c>
      <c r="D5997" s="10" t="s">
        <v>1580</v>
      </c>
      <c r="E5997" s="10" t="str">
        <f>"644020240515163235181866"</f>
        <v>644020240515163235181866</v>
      </c>
      <c r="F5997" s="9"/>
    </row>
    <row r="5998" s="2" customFormat="1" ht="30" customHeight="1" spans="1:6">
      <c r="A5998" s="9">
        <v>5995</v>
      </c>
      <c r="B5998" s="10" t="s">
        <v>4840</v>
      </c>
      <c r="C5998" s="10" t="s">
        <v>4841</v>
      </c>
      <c r="D5998" s="10" t="s">
        <v>5818</v>
      </c>
      <c r="E5998" s="10" t="str">
        <f>"644020240515165442181940"</f>
        <v>644020240515165442181940</v>
      </c>
      <c r="F5998" s="9"/>
    </row>
    <row r="5999" s="2" customFormat="1" ht="30" customHeight="1" spans="1:6">
      <c r="A5999" s="9">
        <v>5996</v>
      </c>
      <c r="B5999" s="10" t="s">
        <v>4840</v>
      </c>
      <c r="C5999" s="10" t="s">
        <v>4841</v>
      </c>
      <c r="D5999" s="10" t="s">
        <v>5819</v>
      </c>
      <c r="E5999" s="10" t="str">
        <f>"644020240515165804181948"</f>
        <v>644020240515165804181948</v>
      </c>
      <c r="F5999" s="9"/>
    </row>
    <row r="6000" s="2" customFormat="1" ht="30" customHeight="1" spans="1:6">
      <c r="A6000" s="9">
        <v>5997</v>
      </c>
      <c r="B6000" s="10" t="s">
        <v>4840</v>
      </c>
      <c r="C6000" s="10" t="s">
        <v>4841</v>
      </c>
      <c r="D6000" s="10" t="s">
        <v>5820</v>
      </c>
      <c r="E6000" s="10" t="str">
        <f>"644020240512163946170039"</f>
        <v>644020240512163946170039</v>
      </c>
      <c r="F6000" s="9"/>
    </row>
    <row r="6001" s="2" customFormat="1" ht="30" customHeight="1" spans="1:6">
      <c r="A6001" s="9">
        <v>5998</v>
      </c>
      <c r="B6001" s="10" t="s">
        <v>4840</v>
      </c>
      <c r="C6001" s="10" t="s">
        <v>4841</v>
      </c>
      <c r="D6001" s="10" t="s">
        <v>5821</v>
      </c>
      <c r="E6001" s="10" t="str">
        <f>"644020240514030429177758"</f>
        <v>644020240514030429177758</v>
      </c>
      <c r="F6001" s="9"/>
    </row>
    <row r="6002" s="2" customFormat="1" ht="30" customHeight="1" spans="1:6">
      <c r="A6002" s="9">
        <v>5999</v>
      </c>
      <c r="B6002" s="10" t="s">
        <v>4840</v>
      </c>
      <c r="C6002" s="10" t="s">
        <v>4841</v>
      </c>
      <c r="D6002" s="10" t="s">
        <v>5822</v>
      </c>
      <c r="E6002" s="10" t="str">
        <f>"644020240515133012181468"</f>
        <v>644020240515133012181468</v>
      </c>
      <c r="F6002" s="9"/>
    </row>
    <row r="6003" s="2" customFormat="1" ht="30" customHeight="1" spans="1:6">
      <c r="A6003" s="9">
        <v>6000</v>
      </c>
      <c r="B6003" s="10" t="s">
        <v>4840</v>
      </c>
      <c r="C6003" s="10" t="s">
        <v>4841</v>
      </c>
      <c r="D6003" s="10" t="s">
        <v>5823</v>
      </c>
      <c r="E6003" s="10" t="str">
        <f>"644020240515174353182024"</f>
        <v>644020240515174353182024</v>
      </c>
      <c r="F6003" s="9"/>
    </row>
    <row r="6004" s="2" customFormat="1" ht="30" customHeight="1" spans="1:6">
      <c r="A6004" s="9">
        <v>6001</v>
      </c>
      <c r="B6004" s="10" t="s">
        <v>4840</v>
      </c>
      <c r="C6004" s="10" t="s">
        <v>4841</v>
      </c>
      <c r="D6004" s="10" t="s">
        <v>5824</v>
      </c>
      <c r="E6004" s="10" t="str">
        <f>"644020240515170057181957"</f>
        <v>644020240515170057181957</v>
      </c>
      <c r="F6004" s="9"/>
    </row>
    <row r="6005" s="2" customFormat="1" ht="30" customHeight="1" spans="1:6">
      <c r="A6005" s="9">
        <v>6002</v>
      </c>
      <c r="B6005" s="10" t="s">
        <v>4840</v>
      </c>
      <c r="C6005" s="10" t="s">
        <v>4841</v>
      </c>
      <c r="D6005" s="10" t="s">
        <v>5825</v>
      </c>
      <c r="E6005" s="10" t="str">
        <f>"644020240515093029180858"</f>
        <v>644020240515093029180858</v>
      </c>
      <c r="F6005" s="9"/>
    </row>
    <row r="6006" s="2" customFormat="1" ht="30" customHeight="1" spans="1:6">
      <c r="A6006" s="9">
        <v>6003</v>
      </c>
      <c r="B6006" s="10" t="s">
        <v>4840</v>
      </c>
      <c r="C6006" s="10" t="s">
        <v>4841</v>
      </c>
      <c r="D6006" s="10" t="s">
        <v>5826</v>
      </c>
      <c r="E6006" s="10" t="str">
        <f>"644020240515174607182030"</f>
        <v>644020240515174607182030</v>
      </c>
      <c r="F6006" s="9"/>
    </row>
    <row r="6007" s="2" customFormat="1" ht="30" customHeight="1" spans="1:6">
      <c r="A6007" s="9">
        <v>6004</v>
      </c>
      <c r="B6007" s="10" t="s">
        <v>4840</v>
      </c>
      <c r="C6007" s="10" t="s">
        <v>4841</v>
      </c>
      <c r="D6007" s="10" t="s">
        <v>5827</v>
      </c>
      <c r="E6007" s="10" t="str">
        <f>"644020240515172811182006"</f>
        <v>644020240515172811182006</v>
      </c>
      <c r="F6007" s="9"/>
    </row>
    <row r="6008" s="2" customFormat="1" ht="30" customHeight="1" spans="1:6">
      <c r="A6008" s="9">
        <v>6005</v>
      </c>
      <c r="B6008" s="10" t="s">
        <v>4840</v>
      </c>
      <c r="C6008" s="10" t="s">
        <v>4841</v>
      </c>
      <c r="D6008" s="10" t="s">
        <v>5828</v>
      </c>
      <c r="E6008" s="10" t="str">
        <f>"644020240515171142181975"</f>
        <v>644020240515171142181975</v>
      </c>
      <c r="F6008" s="9"/>
    </row>
    <row r="6009" s="2" customFormat="1" ht="30" customHeight="1" spans="1:6">
      <c r="A6009" s="9">
        <v>6006</v>
      </c>
      <c r="B6009" s="10" t="s">
        <v>4840</v>
      </c>
      <c r="C6009" s="10" t="s">
        <v>4841</v>
      </c>
      <c r="D6009" s="10" t="s">
        <v>5829</v>
      </c>
      <c r="E6009" s="10" t="str">
        <f>"644020240515171156181976"</f>
        <v>644020240515171156181976</v>
      </c>
      <c r="F6009" s="9"/>
    </row>
    <row r="6010" s="2" customFormat="1" ht="30" customHeight="1" spans="1:6">
      <c r="A6010" s="9">
        <v>6007</v>
      </c>
      <c r="B6010" s="10" t="s">
        <v>4840</v>
      </c>
      <c r="C6010" s="10" t="s">
        <v>4841</v>
      </c>
      <c r="D6010" s="10" t="s">
        <v>5830</v>
      </c>
      <c r="E6010" s="10" t="str">
        <f>"644020240515175722182054"</f>
        <v>644020240515175722182054</v>
      </c>
      <c r="F6010" s="9"/>
    </row>
    <row r="6011" s="2" customFormat="1" ht="30" customHeight="1" spans="1:6">
      <c r="A6011" s="9">
        <v>6008</v>
      </c>
      <c r="B6011" s="10" t="s">
        <v>4840</v>
      </c>
      <c r="C6011" s="10" t="s">
        <v>4841</v>
      </c>
      <c r="D6011" s="10" t="s">
        <v>5831</v>
      </c>
      <c r="E6011" s="10" t="str">
        <f>"644020240515151847181665"</f>
        <v>644020240515151847181665</v>
      </c>
      <c r="F6011" s="9"/>
    </row>
    <row r="6012" s="2" customFormat="1" ht="30" customHeight="1" spans="1:6">
      <c r="A6012" s="9">
        <v>6009</v>
      </c>
      <c r="B6012" s="10" t="s">
        <v>4840</v>
      </c>
      <c r="C6012" s="10" t="s">
        <v>4841</v>
      </c>
      <c r="D6012" s="10" t="s">
        <v>5832</v>
      </c>
      <c r="E6012" s="10" t="str">
        <f>"644020240514143700179141"</f>
        <v>644020240514143700179141</v>
      </c>
      <c r="F6012" s="9"/>
    </row>
    <row r="6013" s="2" customFormat="1" ht="30" customHeight="1" spans="1:6">
      <c r="A6013" s="9">
        <v>6010</v>
      </c>
      <c r="B6013" s="10" t="s">
        <v>4840</v>
      </c>
      <c r="C6013" s="10" t="s">
        <v>4841</v>
      </c>
      <c r="D6013" s="10" t="s">
        <v>5833</v>
      </c>
      <c r="E6013" s="10" t="str">
        <f>"644020240515174543182029"</f>
        <v>644020240515174543182029</v>
      </c>
      <c r="F6013" s="9"/>
    </row>
    <row r="6014" s="2" customFormat="1" ht="30" customHeight="1" spans="1:6">
      <c r="A6014" s="9">
        <v>6011</v>
      </c>
      <c r="B6014" s="10" t="s">
        <v>4840</v>
      </c>
      <c r="C6014" s="10" t="s">
        <v>4841</v>
      </c>
      <c r="D6014" s="10" t="s">
        <v>5834</v>
      </c>
      <c r="E6014" s="10" t="str">
        <f>"644020240515175947182055"</f>
        <v>644020240515175947182055</v>
      </c>
      <c r="F6014" s="9"/>
    </row>
    <row r="6015" s="2" customFormat="1" ht="30" customHeight="1" spans="1:6">
      <c r="A6015" s="9">
        <v>6012</v>
      </c>
      <c r="B6015" s="10" t="s">
        <v>4840</v>
      </c>
      <c r="C6015" s="10" t="s">
        <v>4841</v>
      </c>
      <c r="D6015" s="10" t="s">
        <v>5835</v>
      </c>
      <c r="E6015" s="10" t="str">
        <f>"644020240515180008182057"</f>
        <v>644020240515180008182057</v>
      </c>
      <c r="F6015" s="9"/>
    </row>
    <row r="6016" s="2" customFormat="1" ht="30" customHeight="1" spans="1:6">
      <c r="A6016" s="9">
        <v>6013</v>
      </c>
      <c r="B6016" s="10" t="s">
        <v>4840</v>
      </c>
      <c r="C6016" s="10" t="s">
        <v>4841</v>
      </c>
      <c r="D6016" s="10" t="s">
        <v>5836</v>
      </c>
      <c r="E6016" s="10" t="str">
        <f>"644020240515172221181996"</f>
        <v>644020240515172221181996</v>
      </c>
      <c r="F6016" s="9"/>
    </row>
    <row r="6017" s="2" customFormat="1" ht="30" customHeight="1" spans="1:6">
      <c r="A6017" s="9">
        <v>6014</v>
      </c>
      <c r="B6017" s="10" t="s">
        <v>4840</v>
      </c>
      <c r="C6017" s="10" t="s">
        <v>4841</v>
      </c>
      <c r="D6017" s="10" t="s">
        <v>5837</v>
      </c>
      <c r="E6017" s="10" t="str">
        <f>"644020240515174800182033"</f>
        <v>644020240515174800182033</v>
      </c>
      <c r="F6017" s="9"/>
    </row>
    <row r="6018" s="2" customFormat="1" ht="30" customHeight="1" spans="1:6">
      <c r="A6018" s="9">
        <v>6015</v>
      </c>
      <c r="B6018" s="10" t="s">
        <v>4840</v>
      </c>
      <c r="C6018" s="10" t="s">
        <v>4841</v>
      </c>
      <c r="D6018" s="10" t="s">
        <v>4687</v>
      </c>
      <c r="E6018" s="10" t="str">
        <f>"644020240515135850181514"</f>
        <v>644020240515135850181514</v>
      </c>
      <c r="F6018" s="9"/>
    </row>
    <row r="6019" s="2" customFormat="1" ht="30" customHeight="1" spans="1:6">
      <c r="A6019" s="9">
        <v>6016</v>
      </c>
      <c r="B6019" s="10" t="s">
        <v>4840</v>
      </c>
      <c r="C6019" s="10" t="s">
        <v>4841</v>
      </c>
      <c r="D6019" s="10" t="s">
        <v>5838</v>
      </c>
      <c r="E6019" s="10" t="str">
        <f>"644020240514235121180559"</f>
        <v>644020240514235121180559</v>
      </c>
      <c r="F6019" s="9"/>
    </row>
    <row r="6020" s="2" customFormat="1" ht="30" customHeight="1" spans="1:6">
      <c r="A6020" s="9">
        <v>6017</v>
      </c>
      <c r="B6020" s="10" t="s">
        <v>4840</v>
      </c>
      <c r="C6020" s="10" t="s">
        <v>4841</v>
      </c>
      <c r="D6020" s="10" t="s">
        <v>5839</v>
      </c>
      <c r="E6020" s="10" t="str">
        <f>"644020240515180126182058"</f>
        <v>644020240515180126182058</v>
      </c>
      <c r="F6020" s="9"/>
    </row>
    <row r="6021" s="2" customFormat="1" ht="30" customHeight="1" spans="1:6">
      <c r="A6021" s="9">
        <v>6018</v>
      </c>
      <c r="B6021" s="10" t="s">
        <v>4840</v>
      </c>
      <c r="C6021" s="10" t="s">
        <v>4841</v>
      </c>
      <c r="D6021" s="10" t="s">
        <v>5840</v>
      </c>
      <c r="E6021" s="10" t="str">
        <f>"644020240515165003181928"</f>
        <v>644020240515165003181928</v>
      </c>
      <c r="F6021" s="9"/>
    </row>
    <row r="6022" s="2" customFormat="1" ht="30" customHeight="1" spans="1:6">
      <c r="A6022" s="9">
        <v>6019</v>
      </c>
      <c r="B6022" s="10" t="s">
        <v>4840</v>
      </c>
      <c r="C6022" s="10" t="s">
        <v>4841</v>
      </c>
      <c r="D6022" s="10" t="s">
        <v>5841</v>
      </c>
      <c r="E6022" s="10" t="str">
        <f>"644020240514231601180493"</f>
        <v>644020240514231601180493</v>
      </c>
      <c r="F6022" s="9"/>
    </row>
    <row r="6023" s="2" customFormat="1" ht="30" customHeight="1" spans="1:6">
      <c r="A6023" s="9">
        <v>6020</v>
      </c>
      <c r="B6023" s="10" t="s">
        <v>4840</v>
      </c>
      <c r="C6023" s="10" t="s">
        <v>4841</v>
      </c>
      <c r="D6023" s="10" t="s">
        <v>5842</v>
      </c>
      <c r="E6023" s="10" t="str">
        <f>"644020240515182511182088"</f>
        <v>644020240515182511182088</v>
      </c>
      <c r="F6023" s="9"/>
    </row>
    <row r="6024" s="2" customFormat="1" ht="30" customHeight="1" spans="1:6">
      <c r="A6024" s="9">
        <v>6021</v>
      </c>
      <c r="B6024" s="10" t="s">
        <v>4840</v>
      </c>
      <c r="C6024" s="10" t="s">
        <v>4841</v>
      </c>
      <c r="D6024" s="10" t="s">
        <v>5843</v>
      </c>
      <c r="E6024" s="10" t="str">
        <f>"644020240514154916179364"</f>
        <v>644020240514154916179364</v>
      </c>
      <c r="F6024" s="9"/>
    </row>
    <row r="6025" s="2" customFormat="1" ht="30" customHeight="1" spans="1:6">
      <c r="A6025" s="9">
        <v>6022</v>
      </c>
      <c r="B6025" s="10" t="s">
        <v>4840</v>
      </c>
      <c r="C6025" s="10" t="s">
        <v>4841</v>
      </c>
      <c r="D6025" s="10" t="s">
        <v>4997</v>
      </c>
      <c r="E6025" s="10" t="str">
        <f>"644020240515111542181198"</f>
        <v>644020240515111542181198</v>
      </c>
      <c r="F6025" s="9"/>
    </row>
    <row r="6026" s="2" customFormat="1" ht="30" customHeight="1" spans="1:6">
      <c r="A6026" s="9">
        <v>6023</v>
      </c>
      <c r="B6026" s="10" t="s">
        <v>4840</v>
      </c>
      <c r="C6026" s="10" t="s">
        <v>4841</v>
      </c>
      <c r="D6026" s="10" t="s">
        <v>5844</v>
      </c>
      <c r="E6026" s="10" t="str">
        <f>"644020240513205103176919"</f>
        <v>644020240513205103176919</v>
      </c>
      <c r="F6026" s="9"/>
    </row>
    <row r="6027" s="2" customFormat="1" ht="30" customHeight="1" spans="1:6">
      <c r="A6027" s="9">
        <v>6024</v>
      </c>
      <c r="B6027" s="10" t="s">
        <v>4840</v>
      </c>
      <c r="C6027" s="10" t="s">
        <v>4841</v>
      </c>
      <c r="D6027" s="10" t="s">
        <v>5845</v>
      </c>
      <c r="E6027" s="10" t="str">
        <f>"644020240515164728181922"</f>
        <v>644020240515164728181922</v>
      </c>
      <c r="F6027" s="9"/>
    </row>
    <row r="6028" s="2" customFormat="1" ht="30" customHeight="1" spans="1:6">
      <c r="A6028" s="9">
        <v>6025</v>
      </c>
      <c r="B6028" s="10" t="s">
        <v>4840</v>
      </c>
      <c r="C6028" s="10" t="s">
        <v>4841</v>
      </c>
      <c r="D6028" s="10" t="s">
        <v>5846</v>
      </c>
      <c r="E6028" s="10" t="str">
        <f>"644020240515142013181546"</f>
        <v>644020240515142013181546</v>
      </c>
      <c r="F6028" s="9"/>
    </row>
    <row r="6029" s="2" customFormat="1" ht="30" customHeight="1" spans="1:6">
      <c r="A6029" s="9">
        <v>6026</v>
      </c>
      <c r="B6029" s="10" t="s">
        <v>4840</v>
      </c>
      <c r="C6029" s="10" t="s">
        <v>4841</v>
      </c>
      <c r="D6029" s="10" t="s">
        <v>5847</v>
      </c>
      <c r="E6029" s="10" t="str">
        <f>"644020240515093057180860"</f>
        <v>644020240515093057180860</v>
      </c>
      <c r="F6029" s="9"/>
    </row>
    <row r="6030" s="2" customFormat="1" ht="30" customHeight="1" spans="1:6">
      <c r="A6030" s="9">
        <v>6027</v>
      </c>
      <c r="B6030" s="10" t="s">
        <v>4840</v>
      </c>
      <c r="C6030" s="10" t="s">
        <v>4841</v>
      </c>
      <c r="D6030" s="10" t="s">
        <v>5848</v>
      </c>
      <c r="E6030" s="10" t="str">
        <f>"644020240515190423182139"</f>
        <v>644020240515190423182139</v>
      </c>
      <c r="F6030" s="9"/>
    </row>
    <row r="6031" s="2" customFormat="1" ht="30" customHeight="1" spans="1:6">
      <c r="A6031" s="9">
        <v>6028</v>
      </c>
      <c r="B6031" s="10" t="s">
        <v>4840</v>
      </c>
      <c r="C6031" s="10" t="s">
        <v>4841</v>
      </c>
      <c r="D6031" s="10" t="s">
        <v>5849</v>
      </c>
      <c r="E6031" s="10" t="str">
        <f>"644020240515155357181762"</f>
        <v>644020240515155357181762</v>
      </c>
      <c r="F6031" s="9"/>
    </row>
    <row r="6032" s="2" customFormat="1" ht="30" customHeight="1" spans="1:6">
      <c r="A6032" s="9">
        <v>6029</v>
      </c>
      <c r="B6032" s="10" t="s">
        <v>4840</v>
      </c>
      <c r="C6032" s="10" t="s">
        <v>4841</v>
      </c>
      <c r="D6032" s="10" t="s">
        <v>5850</v>
      </c>
      <c r="E6032" s="10" t="str">
        <f>"644020240515190721182143"</f>
        <v>644020240515190721182143</v>
      </c>
      <c r="F6032" s="9"/>
    </row>
    <row r="6033" s="2" customFormat="1" ht="30" customHeight="1" spans="1:6">
      <c r="A6033" s="9">
        <v>6030</v>
      </c>
      <c r="B6033" s="10" t="s">
        <v>4840</v>
      </c>
      <c r="C6033" s="10" t="s">
        <v>4841</v>
      </c>
      <c r="D6033" s="10" t="s">
        <v>5851</v>
      </c>
      <c r="E6033" s="10" t="str">
        <f>"644020240515191837182153"</f>
        <v>644020240515191837182153</v>
      </c>
      <c r="F6033" s="9"/>
    </row>
    <row r="6034" s="2" customFormat="1" ht="30" customHeight="1" spans="1:6">
      <c r="A6034" s="9">
        <v>6031</v>
      </c>
      <c r="B6034" s="10" t="s">
        <v>4840</v>
      </c>
      <c r="C6034" s="10" t="s">
        <v>4841</v>
      </c>
      <c r="D6034" s="10" t="s">
        <v>4418</v>
      </c>
      <c r="E6034" s="10" t="str">
        <f>"644020240515135044181504"</f>
        <v>644020240515135044181504</v>
      </c>
      <c r="F6034" s="9"/>
    </row>
    <row r="6035" s="2" customFormat="1" ht="30" customHeight="1" spans="1:6">
      <c r="A6035" s="9">
        <v>6032</v>
      </c>
      <c r="B6035" s="10" t="s">
        <v>4840</v>
      </c>
      <c r="C6035" s="10" t="s">
        <v>4841</v>
      </c>
      <c r="D6035" s="10" t="s">
        <v>5852</v>
      </c>
      <c r="E6035" s="10" t="str">
        <f>"644020240515191559182152"</f>
        <v>644020240515191559182152</v>
      </c>
      <c r="F6035" s="9"/>
    </row>
    <row r="6036" s="2" customFormat="1" ht="30" customHeight="1" spans="1:6">
      <c r="A6036" s="9">
        <v>6033</v>
      </c>
      <c r="B6036" s="10" t="s">
        <v>4840</v>
      </c>
      <c r="C6036" s="10" t="s">
        <v>4841</v>
      </c>
      <c r="D6036" s="10" t="s">
        <v>5853</v>
      </c>
      <c r="E6036" s="10" t="str">
        <f>"644020240515192133182157"</f>
        <v>644020240515192133182157</v>
      </c>
      <c r="F6036" s="9"/>
    </row>
    <row r="6037" s="2" customFormat="1" ht="30" customHeight="1" spans="1:6">
      <c r="A6037" s="9">
        <v>6034</v>
      </c>
      <c r="B6037" s="10" t="s">
        <v>4840</v>
      </c>
      <c r="C6037" s="10" t="s">
        <v>4841</v>
      </c>
      <c r="D6037" s="10" t="s">
        <v>5854</v>
      </c>
      <c r="E6037" s="10" t="str">
        <f>"644020240515193220182177"</f>
        <v>644020240515193220182177</v>
      </c>
      <c r="F6037" s="9"/>
    </row>
    <row r="6038" s="2" customFormat="1" ht="30" customHeight="1" spans="1:6">
      <c r="A6038" s="9">
        <v>6035</v>
      </c>
      <c r="B6038" s="10" t="s">
        <v>4840</v>
      </c>
      <c r="C6038" s="10" t="s">
        <v>4841</v>
      </c>
      <c r="D6038" s="10" t="s">
        <v>5855</v>
      </c>
      <c r="E6038" s="10" t="str">
        <f>"644020240515172453182003"</f>
        <v>644020240515172453182003</v>
      </c>
      <c r="F6038" s="9"/>
    </row>
    <row r="6039" s="2" customFormat="1" ht="30" customHeight="1" spans="1:6">
      <c r="A6039" s="9">
        <v>6036</v>
      </c>
      <c r="B6039" s="10" t="s">
        <v>4840</v>
      </c>
      <c r="C6039" s="10" t="s">
        <v>4841</v>
      </c>
      <c r="D6039" s="10" t="s">
        <v>5856</v>
      </c>
      <c r="E6039" s="10" t="str">
        <f>"644020240512111207168781"</f>
        <v>644020240512111207168781</v>
      </c>
      <c r="F6039" s="9"/>
    </row>
    <row r="6040" s="2" customFormat="1" ht="30" customHeight="1" spans="1:6">
      <c r="A6040" s="9">
        <v>6037</v>
      </c>
      <c r="B6040" s="10" t="s">
        <v>4840</v>
      </c>
      <c r="C6040" s="10" t="s">
        <v>4841</v>
      </c>
      <c r="D6040" s="10" t="s">
        <v>5857</v>
      </c>
      <c r="E6040" s="10" t="str">
        <f>"644020240515194105182189"</f>
        <v>644020240515194105182189</v>
      </c>
      <c r="F6040" s="9"/>
    </row>
    <row r="6041" s="2" customFormat="1" ht="30" customHeight="1" spans="1:6">
      <c r="A6041" s="9">
        <v>6038</v>
      </c>
      <c r="B6041" s="10" t="s">
        <v>4840</v>
      </c>
      <c r="C6041" s="10" t="s">
        <v>4841</v>
      </c>
      <c r="D6041" s="10" t="s">
        <v>5858</v>
      </c>
      <c r="E6041" s="10" t="str">
        <f>"644020240515104448181095"</f>
        <v>644020240515104448181095</v>
      </c>
      <c r="F6041" s="9"/>
    </row>
    <row r="6042" s="2" customFormat="1" ht="30" customHeight="1" spans="1:6">
      <c r="A6042" s="9">
        <v>6039</v>
      </c>
      <c r="B6042" s="10" t="s">
        <v>4840</v>
      </c>
      <c r="C6042" s="10" t="s">
        <v>4841</v>
      </c>
      <c r="D6042" s="10" t="s">
        <v>5859</v>
      </c>
      <c r="E6042" s="10" t="str">
        <f>"644020240515193435182181"</f>
        <v>644020240515193435182181</v>
      </c>
      <c r="F6042" s="9"/>
    </row>
    <row r="6043" s="2" customFormat="1" ht="30" customHeight="1" spans="1:6">
      <c r="A6043" s="9">
        <v>6040</v>
      </c>
      <c r="B6043" s="10" t="s">
        <v>4840</v>
      </c>
      <c r="C6043" s="10" t="s">
        <v>4841</v>
      </c>
      <c r="D6043" s="10" t="s">
        <v>5860</v>
      </c>
      <c r="E6043" s="10" t="str">
        <f>"644020240515165921181952"</f>
        <v>644020240515165921181952</v>
      </c>
      <c r="F6043" s="9"/>
    </row>
    <row r="6044" s="2" customFormat="1" ht="30" customHeight="1" spans="1:6">
      <c r="A6044" s="9">
        <v>6041</v>
      </c>
      <c r="B6044" s="10" t="s">
        <v>4840</v>
      </c>
      <c r="C6044" s="10" t="s">
        <v>4841</v>
      </c>
      <c r="D6044" s="10" t="s">
        <v>5861</v>
      </c>
      <c r="E6044" s="10" t="str">
        <f>"644020240514200641179993"</f>
        <v>644020240514200641179993</v>
      </c>
      <c r="F6044" s="9"/>
    </row>
    <row r="6045" s="2" customFormat="1" ht="30" customHeight="1" spans="1:6">
      <c r="A6045" s="9">
        <v>6042</v>
      </c>
      <c r="B6045" s="10" t="s">
        <v>4840</v>
      </c>
      <c r="C6045" s="10" t="s">
        <v>4841</v>
      </c>
      <c r="D6045" s="10" t="s">
        <v>5862</v>
      </c>
      <c r="E6045" s="10" t="str">
        <f>"644020240512171656170164"</f>
        <v>644020240512171656170164</v>
      </c>
      <c r="F6045" s="9"/>
    </row>
    <row r="6046" s="2" customFormat="1" ht="30" customHeight="1" spans="1:6">
      <c r="A6046" s="9">
        <v>6043</v>
      </c>
      <c r="B6046" s="10" t="s">
        <v>4840</v>
      </c>
      <c r="C6046" s="10" t="s">
        <v>4841</v>
      </c>
      <c r="D6046" s="10" t="s">
        <v>5863</v>
      </c>
      <c r="E6046" s="10" t="str">
        <f>"644020240514220052180295"</f>
        <v>644020240514220052180295</v>
      </c>
      <c r="F6046" s="9"/>
    </row>
    <row r="6047" s="2" customFormat="1" ht="30" customHeight="1" spans="1:6">
      <c r="A6047" s="9">
        <v>6044</v>
      </c>
      <c r="B6047" s="10" t="s">
        <v>4840</v>
      </c>
      <c r="C6047" s="10" t="s">
        <v>4841</v>
      </c>
      <c r="D6047" s="10" t="s">
        <v>5864</v>
      </c>
      <c r="E6047" s="10" t="str">
        <f>"644020240515194435182193"</f>
        <v>644020240515194435182193</v>
      </c>
      <c r="F6047" s="9"/>
    </row>
    <row r="6048" s="2" customFormat="1" ht="30" customHeight="1" spans="1:6">
      <c r="A6048" s="9">
        <v>6045</v>
      </c>
      <c r="B6048" s="10" t="s">
        <v>4840</v>
      </c>
      <c r="C6048" s="10" t="s">
        <v>4841</v>
      </c>
      <c r="D6048" s="10" t="s">
        <v>1580</v>
      </c>
      <c r="E6048" s="10" t="str">
        <f>"644020240515170448181968"</f>
        <v>644020240515170448181968</v>
      </c>
      <c r="F6048" s="9"/>
    </row>
    <row r="6049" s="2" customFormat="1" ht="30" customHeight="1" spans="1:6">
      <c r="A6049" s="9">
        <v>6046</v>
      </c>
      <c r="B6049" s="10" t="s">
        <v>4840</v>
      </c>
      <c r="C6049" s="10" t="s">
        <v>4841</v>
      </c>
      <c r="D6049" s="10" t="s">
        <v>5865</v>
      </c>
      <c r="E6049" s="10" t="str">
        <f>"644020240515192447182165"</f>
        <v>644020240515192447182165</v>
      </c>
      <c r="F6049" s="9"/>
    </row>
    <row r="6050" s="2" customFormat="1" ht="30" customHeight="1" spans="1:6">
      <c r="A6050" s="9">
        <v>6047</v>
      </c>
      <c r="B6050" s="10" t="s">
        <v>4840</v>
      </c>
      <c r="C6050" s="10" t="s">
        <v>4841</v>
      </c>
      <c r="D6050" s="10" t="s">
        <v>2135</v>
      </c>
      <c r="E6050" s="10" t="str">
        <f>"644020240514220409180310"</f>
        <v>644020240514220409180310</v>
      </c>
      <c r="F6050" s="9"/>
    </row>
    <row r="6051" s="2" customFormat="1" ht="30" customHeight="1" spans="1:6">
      <c r="A6051" s="9">
        <v>6048</v>
      </c>
      <c r="B6051" s="10" t="s">
        <v>4840</v>
      </c>
      <c r="C6051" s="10" t="s">
        <v>4841</v>
      </c>
      <c r="D6051" s="10" t="s">
        <v>5866</v>
      </c>
      <c r="E6051" s="10" t="str">
        <f>"644020240515104742181104"</f>
        <v>644020240515104742181104</v>
      </c>
      <c r="F6051" s="9"/>
    </row>
    <row r="6052" s="2" customFormat="1" ht="30" customHeight="1" spans="1:6">
      <c r="A6052" s="9">
        <v>6049</v>
      </c>
      <c r="B6052" s="10" t="s">
        <v>4840</v>
      </c>
      <c r="C6052" s="10" t="s">
        <v>4841</v>
      </c>
      <c r="D6052" s="10" t="s">
        <v>5867</v>
      </c>
      <c r="E6052" s="10" t="str">
        <f>"644020240514165242179580"</f>
        <v>644020240514165242179580</v>
      </c>
      <c r="F6052" s="9"/>
    </row>
    <row r="6053" s="2" customFormat="1" ht="30" customHeight="1" spans="1:6">
      <c r="A6053" s="9">
        <v>6050</v>
      </c>
      <c r="B6053" s="10" t="s">
        <v>4840</v>
      </c>
      <c r="C6053" s="10" t="s">
        <v>4841</v>
      </c>
      <c r="D6053" s="10" t="s">
        <v>5868</v>
      </c>
      <c r="E6053" s="10" t="str">
        <f>"644020240515201046182233"</f>
        <v>644020240515201046182233</v>
      </c>
      <c r="F6053" s="9"/>
    </row>
    <row r="6054" s="2" customFormat="1" ht="30" customHeight="1" spans="1:6">
      <c r="A6054" s="9">
        <v>6051</v>
      </c>
      <c r="B6054" s="10" t="s">
        <v>4840</v>
      </c>
      <c r="C6054" s="10" t="s">
        <v>4841</v>
      </c>
      <c r="D6054" s="10" t="s">
        <v>5869</v>
      </c>
      <c r="E6054" s="10" t="str">
        <f>"644020240515110556181168"</f>
        <v>644020240515110556181168</v>
      </c>
      <c r="F6054" s="9"/>
    </row>
    <row r="6055" s="2" customFormat="1" ht="30" customHeight="1" spans="1:6">
      <c r="A6055" s="9">
        <v>6052</v>
      </c>
      <c r="B6055" s="10" t="s">
        <v>4840</v>
      </c>
      <c r="C6055" s="10" t="s">
        <v>4841</v>
      </c>
      <c r="D6055" s="10" t="s">
        <v>5870</v>
      </c>
      <c r="E6055" s="10" t="str">
        <f>"644020240515175655182053"</f>
        <v>644020240515175655182053</v>
      </c>
      <c r="F6055" s="9"/>
    </row>
    <row r="6056" s="2" customFormat="1" ht="30" customHeight="1" spans="1:6">
      <c r="A6056" s="9">
        <v>6053</v>
      </c>
      <c r="B6056" s="10" t="s">
        <v>4840</v>
      </c>
      <c r="C6056" s="10" t="s">
        <v>4841</v>
      </c>
      <c r="D6056" s="10" t="s">
        <v>5871</v>
      </c>
      <c r="E6056" s="10" t="str">
        <f>"644020240515202432182252"</f>
        <v>644020240515202432182252</v>
      </c>
      <c r="F6056" s="9"/>
    </row>
    <row r="6057" s="2" customFormat="1" ht="30" customHeight="1" spans="1:6">
      <c r="A6057" s="9">
        <v>6054</v>
      </c>
      <c r="B6057" s="10" t="s">
        <v>4840</v>
      </c>
      <c r="C6057" s="10" t="s">
        <v>4841</v>
      </c>
      <c r="D6057" s="10" t="s">
        <v>1852</v>
      </c>
      <c r="E6057" s="10" t="str">
        <f>"644020240515200839182228"</f>
        <v>644020240515200839182228</v>
      </c>
      <c r="F6057" s="9"/>
    </row>
    <row r="6058" s="2" customFormat="1" ht="30" customHeight="1" spans="1:6">
      <c r="A6058" s="9">
        <v>6055</v>
      </c>
      <c r="B6058" s="10" t="s">
        <v>4840</v>
      </c>
      <c r="C6058" s="10" t="s">
        <v>4841</v>
      </c>
      <c r="D6058" s="10" t="s">
        <v>5872</v>
      </c>
      <c r="E6058" s="10" t="str">
        <f>"644020240513155411175731"</f>
        <v>644020240513155411175731</v>
      </c>
      <c r="F6058" s="9"/>
    </row>
    <row r="6059" s="2" customFormat="1" ht="30" customHeight="1" spans="1:6">
      <c r="A6059" s="9">
        <v>6056</v>
      </c>
      <c r="B6059" s="10" t="s">
        <v>4840</v>
      </c>
      <c r="C6059" s="10" t="s">
        <v>4841</v>
      </c>
      <c r="D6059" s="10" t="s">
        <v>5873</v>
      </c>
      <c r="E6059" s="10" t="str">
        <f>"644020240515201515182236"</f>
        <v>644020240515201515182236</v>
      </c>
      <c r="F6059" s="9"/>
    </row>
    <row r="6060" s="2" customFormat="1" ht="30" customHeight="1" spans="1:6">
      <c r="A6060" s="9">
        <v>6057</v>
      </c>
      <c r="B6060" s="10" t="s">
        <v>4840</v>
      </c>
      <c r="C6060" s="10" t="s">
        <v>4841</v>
      </c>
      <c r="D6060" s="10" t="s">
        <v>5874</v>
      </c>
      <c r="E6060" s="10" t="str">
        <f>"644020240515202905182263"</f>
        <v>644020240515202905182263</v>
      </c>
      <c r="F6060" s="9"/>
    </row>
    <row r="6061" s="2" customFormat="1" ht="30" customHeight="1" spans="1:6">
      <c r="A6061" s="9">
        <v>6058</v>
      </c>
      <c r="B6061" s="10" t="s">
        <v>4840</v>
      </c>
      <c r="C6061" s="10" t="s">
        <v>4841</v>
      </c>
      <c r="D6061" s="10" t="s">
        <v>5875</v>
      </c>
      <c r="E6061" s="10" t="str">
        <f>"644020240515163016181858"</f>
        <v>644020240515163016181858</v>
      </c>
      <c r="F6061" s="9"/>
    </row>
    <row r="6062" s="2" customFormat="1" ht="30" customHeight="1" spans="1:6">
      <c r="A6062" s="9">
        <v>6059</v>
      </c>
      <c r="B6062" s="10" t="s">
        <v>4840</v>
      </c>
      <c r="C6062" s="10" t="s">
        <v>4841</v>
      </c>
      <c r="D6062" s="10" t="s">
        <v>5876</v>
      </c>
      <c r="E6062" s="10" t="str">
        <f>"644020240513112111173894"</f>
        <v>644020240513112111173894</v>
      </c>
      <c r="F6062" s="9"/>
    </row>
    <row r="6063" s="2" customFormat="1" ht="30" customHeight="1" spans="1:6">
      <c r="A6063" s="9">
        <v>6060</v>
      </c>
      <c r="B6063" s="10" t="s">
        <v>4840</v>
      </c>
      <c r="C6063" s="10" t="s">
        <v>4841</v>
      </c>
      <c r="D6063" s="10" t="s">
        <v>5877</v>
      </c>
      <c r="E6063" s="10" t="str">
        <f>"644020240515202725182262"</f>
        <v>644020240515202725182262</v>
      </c>
      <c r="F6063" s="9"/>
    </row>
    <row r="6064" s="2" customFormat="1" ht="30" customHeight="1" spans="1:6">
      <c r="A6064" s="9">
        <v>6061</v>
      </c>
      <c r="B6064" s="10" t="s">
        <v>4840</v>
      </c>
      <c r="C6064" s="10" t="s">
        <v>4841</v>
      </c>
      <c r="D6064" s="10" t="s">
        <v>5878</v>
      </c>
      <c r="E6064" s="10" t="str">
        <f>"644020240512103544168597"</f>
        <v>644020240512103544168597</v>
      </c>
      <c r="F6064" s="9"/>
    </row>
    <row r="6065" s="2" customFormat="1" ht="30" customHeight="1" spans="1:6">
      <c r="A6065" s="9">
        <v>6062</v>
      </c>
      <c r="B6065" s="10" t="s">
        <v>4840</v>
      </c>
      <c r="C6065" s="10" t="s">
        <v>4841</v>
      </c>
      <c r="D6065" s="10" t="s">
        <v>2037</v>
      </c>
      <c r="E6065" s="10" t="str">
        <f>"644020240513214734177160"</f>
        <v>644020240513214734177160</v>
      </c>
      <c r="F6065" s="9"/>
    </row>
    <row r="6066" s="2" customFormat="1" ht="30" customHeight="1" spans="1:6">
      <c r="A6066" s="9">
        <v>6063</v>
      </c>
      <c r="B6066" s="10" t="s">
        <v>4840</v>
      </c>
      <c r="C6066" s="10" t="s">
        <v>4841</v>
      </c>
      <c r="D6066" s="10" t="s">
        <v>5879</v>
      </c>
      <c r="E6066" s="10" t="str">
        <f>"644020240515200407182222"</f>
        <v>644020240515200407182222</v>
      </c>
      <c r="F6066" s="9"/>
    </row>
    <row r="6067" s="2" customFormat="1" ht="30" customHeight="1" spans="1:6">
      <c r="A6067" s="9">
        <v>6064</v>
      </c>
      <c r="B6067" s="10" t="s">
        <v>4840</v>
      </c>
      <c r="C6067" s="10" t="s">
        <v>4841</v>
      </c>
      <c r="D6067" s="10" t="s">
        <v>5880</v>
      </c>
      <c r="E6067" s="10" t="str">
        <f>"644020240514112813178712"</f>
        <v>644020240514112813178712</v>
      </c>
      <c r="F6067" s="9"/>
    </row>
    <row r="6068" s="2" customFormat="1" ht="30" customHeight="1" spans="1:6">
      <c r="A6068" s="9">
        <v>6065</v>
      </c>
      <c r="B6068" s="10" t="s">
        <v>4840</v>
      </c>
      <c r="C6068" s="10" t="s">
        <v>4841</v>
      </c>
      <c r="D6068" s="10" t="s">
        <v>5881</v>
      </c>
      <c r="E6068" s="10" t="str">
        <f>"644020240514214409180237"</f>
        <v>644020240514214409180237</v>
      </c>
      <c r="F6068" s="9"/>
    </row>
    <row r="6069" s="2" customFormat="1" ht="30" customHeight="1" spans="1:6">
      <c r="A6069" s="9">
        <v>6066</v>
      </c>
      <c r="B6069" s="10" t="s">
        <v>4840</v>
      </c>
      <c r="C6069" s="10" t="s">
        <v>4841</v>
      </c>
      <c r="D6069" s="10" t="s">
        <v>5882</v>
      </c>
      <c r="E6069" s="10" t="str">
        <f>"644020240515124118181387"</f>
        <v>644020240515124118181387</v>
      </c>
      <c r="F6069" s="9"/>
    </row>
    <row r="6070" s="2" customFormat="1" ht="30" customHeight="1" spans="1:6">
      <c r="A6070" s="9">
        <v>6067</v>
      </c>
      <c r="B6070" s="10" t="s">
        <v>4840</v>
      </c>
      <c r="C6070" s="10" t="s">
        <v>4841</v>
      </c>
      <c r="D6070" s="10" t="s">
        <v>5883</v>
      </c>
      <c r="E6070" s="10" t="str">
        <f>"644020240512180945170338"</f>
        <v>644020240512180945170338</v>
      </c>
      <c r="F6070" s="9"/>
    </row>
    <row r="6071" s="2" customFormat="1" ht="30" customHeight="1" spans="1:6">
      <c r="A6071" s="9">
        <v>6068</v>
      </c>
      <c r="B6071" s="10" t="s">
        <v>4840</v>
      </c>
      <c r="C6071" s="10" t="s">
        <v>4841</v>
      </c>
      <c r="D6071" s="10" t="s">
        <v>5884</v>
      </c>
      <c r="E6071" s="10" t="str">
        <f>"644020240513212941177088"</f>
        <v>644020240513212941177088</v>
      </c>
      <c r="F6071" s="9"/>
    </row>
    <row r="6072" s="2" customFormat="1" ht="30" customHeight="1" spans="1:6">
      <c r="A6072" s="9">
        <v>6069</v>
      </c>
      <c r="B6072" s="10" t="s">
        <v>4840</v>
      </c>
      <c r="C6072" s="10" t="s">
        <v>4841</v>
      </c>
      <c r="D6072" s="10" t="s">
        <v>5885</v>
      </c>
      <c r="E6072" s="10" t="str">
        <f>"644020240515195241182206"</f>
        <v>644020240515195241182206</v>
      </c>
      <c r="F6072" s="9"/>
    </row>
    <row r="6073" s="2" customFormat="1" ht="30" customHeight="1" spans="1:6">
      <c r="A6073" s="9">
        <v>6070</v>
      </c>
      <c r="B6073" s="10" t="s">
        <v>4840</v>
      </c>
      <c r="C6073" s="10" t="s">
        <v>4841</v>
      </c>
      <c r="D6073" s="10" t="s">
        <v>5886</v>
      </c>
      <c r="E6073" s="10" t="str">
        <f>"644020240514205603180098"</f>
        <v>644020240514205603180098</v>
      </c>
      <c r="F6073" s="9"/>
    </row>
    <row r="6074" s="2" customFormat="1" ht="30" customHeight="1" spans="1:6">
      <c r="A6074" s="9">
        <v>6071</v>
      </c>
      <c r="B6074" s="10" t="s">
        <v>4840</v>
      </c>
      <c r="C6074" s="10" t="s">
        <v>4841</v>
      </c>
      <c r="D6074" s="10" t="s">
        <v>5887</v>
      </c>
      <c r="E6074" s="10" t="str">
        <f>"644020240514222151180357"</f>
        <v>644020240514222151180357</v>
      </c>
      <c r="F6074" s="9"/>
    </row>
    <row r="6075" s="2" customFormat="1" ht="30" customHeight="1" spans="1:6">
      <c r="A6075" s="9">
        <v>6072</v>
      </c>
      <c r="B6075" s="10" t="s">
        <v>4840</v>
      </c>
      <c r="C6075" s="10" t="s">
        <v>4841</v>
      </c>
      <c r="D6075" s="10" t="s">
        <v>5888</v>
      </c>
      <c r="E6075" s="10" t="str">
        <f>"644020240515160222181786"</f>
        <v>644020240515160222181786</v>
      </c>
      <c r="F6075" s="9"/>
    </row>
    <row r="6076" s="2" customFormat="1" ht="30" customHeight="1" spans="1:6">
      <c r="A6076" s="9">
        <v>6073</v>
      </c>
      <c r="B6076" s="10" t="s">
        <v>4840</v>
      </c>
      <c r="C6076" s="10" t="s">
        <v>4841</v>
      </c>
      <c r="D6076" s="10" t="s">
        <v>5889</v>
      </c>
      <c r="E6076" s="10" t="str">
        <f>"644020240515102541181026"</f>
        <v>644020240515102541181026</v>
      </c>
      <c r="F6076" s="9"/>
    </row>
    <row r="6077" s="2" customFormat="1" ht="30" customHeight="1" spans="1:6">
      <c r="A6077" s="9">
        <v>6074</v>
      </c>
      <c r="B6077" s="10" t="s">
        <v>4840</v>
      </c>
      <c r="C6077" s="10" t="s">
        <v>4841</v>
      </c>
      <c r="D6077" s="10" t="s">
        <v>5890</v>
      </c>
      <c r="E6077" s="10" t="str">
        <f>"644020240515220234182333"</f>
        <v>644020240515220234182333</v>
      </c>
      <c r="F6077" s="9"/>
    </row>
    <row r="6078" s="2" customFormat="1" ht="30" customHeight="1" spans="1:6">
      <c r="A6078" s="9">
        <v>6075</v>
      </c>
      <c r="B6078" s="10" t="s">
        <v>4840</v>
      </c>
      <c r="C6078" s="10" t="s">
        <v>4841</v>
      </c>
      <c r="D6078" s="10" t="s">
        <v>5891</v>
      </c>
      <c r="E6078" s="10" t="str">
        <f>"644020240515220200182324"</f>
        <v>644020240515220200182324</v>
      </c>
      <c r="F6078" s="9"/>
    </row>
    <row r="6079" s="2" customFormat="1" ht="30" customHeight="1" spans="1:6">
      <c r="A6079" s="9">
        <v>6076</v>
      </c>
      <c r="B6079" s="10" t="s">
        <v>4840</v>
      </c>
      <c r="C6079" s="10" t="s">
        <v>4841</v>
      </c>
      <c r="D6079" s="10" t="s">
        <v>5892</v>
      </c>
      <c r="E6079" s="10" t="str">
        <f>"644020240514124224178918"</f>
        <v>644020240514124224178918</v>
      </c>
      <c r="F6079" s="9"/>
    </row>
    <row r="6080" s="2" customFormat="1" ht="30" customHeight="1" spans="1:6">
      <c r="A6080" s="9">
        <v>6077</v>
      </c>
      <c r="B6080" s="10" t="s">
        <v>4840</v>
      </c>
      <c r="C6080" s="10" t="s">
        <v>4841</v>
      </c>
      <c r="D6080" s="10" t="s">
        <v>5893</v>
      </c>
      <c r="E6080" s="10" t="str">
        <f>"644020240515101047180976"</f>
        <v>644020240515101047180976</v>
      </c>
      <c r="F6080" s="9"/>
    </row>
    <row r="6081" s="2" customFormat="1" ht="30" customHeight="1" spans="1:6">
      <c r="A6081" s="9">
        <v>6078</v>
      </c>
      <c r="B6081" s="10" t="s">
        <v>4840</v>
      </c>
      <c r="C6081" s="10" t="s">
        <v>4841</v>
      </c>
      <c r="D6081" s="10" t="s">
        <v>5894</v>
      </c>
      <c r="E6081" s="10" t="str">
        <f>"644020240515001427180582"</f>
        <v>644020240515001427180582</v>
      </c>
      <c r="F6081" s="9"/>
    </row>
    <row r="6082" s="2" customFormat="1" ht="30" customHeight="1" spans="1:6">
      <c r="A6082" s="9">
        <v>6079</v>
      </c>
      <c r="B6082" s="10" t="s">
        <v>4840</v>
      </c>
      <c r="C6082" s="10" t="s">
        <v>4841</v>
      </c>
      <c r="D6082" s="10" t="s">
        <v>2103</v>
      </c>
      <c r="E6082" s="10" t="str">
        <f>"644020240512205236170946"</f>
        <v>644020240512205236170946</v>
      </c>
      <c r="F6082" s="9"/>
    </row>
    <row r="6083" s="2" customFormat="1" ht="30" customHeight="1" spans="1:6">
      <c r="A6083" s="9">
        <v>6080</v>
      </c>
      <c r="B6083" s="10" t="s">
        <v>4840</v>
      </c>
      <c r="C6083" s="10" t="s">
        <v>4841</v>
      </c>
      <c r="D6083" s="10" t="s">
        <v>5895</v>
      </c>
      <c r="E6083" s="10" t="str">
        <f>"644020240515220217182330"</f>
        <v>644020240515220217182330</v>
      </c>
      <c r="F6083" s="9"/>
    </row>
    <row r="6084" s="2" customFormat="1" ht="30" customHeight="1" spans="1:6">
      <c r="A6084" s="9">
        <v>6081</v>
      </c>
      <c r="B6084" s="10" t="s">
        <v>4840</v>
      </c>
      <c r="C6084" s="10" t="s">
        <v>4841</v>
      </c>
      <c r="D6084" s="10" t="s">
        <v>5896</v>
      </c>
      <c r="E6084" s="10" t="str">
        <f>"644020240515221442182377"</f>
        <v>644020240515221442182377</v>
      </c>
      <c r="F6084" s="9"/>
    </row>
    <row r="6085" s="2" customFormat="1" ht="30" customHeight="1" spans="1:6">
      <c r="A6085" s="9">
        <v>6082</v>
      </c>
      <c r="B6085" s="10" t="s">
        <v>4840</v>
      </c>
      <c r="C6085" s="10" t="s">
        <v>4841</v>
      </c>
      <c r="D6085" s="10" t="s">
        <v>5897</v>
      </c>
      <c r="E6085" s="10" t="str">
        <f>"644020240515220304182337"</f>
        <v>644020240515220304182337</v>
      </c>
      <c r="F6085" s="9"/>
    </row>
    <row r="6086" s="2" customFormat="1" ht="30" customHeight="1" spans="1:6">
      <c r="A6086" s="9">
        <v>6083</v>
      </c>
      <c r="B6086" s="10" t="s">
        <v>4840</v>
      </c>
      <c r="C6086" s="10" t="s">
        <v>4841</v>
      </c>
      <c r="D6086" s="10" t="s">
        <v>5898</v>
      </c>
      <c r="E6086" s="10" t="str">
        <f>"644020240515222038182396"</f>
        <v>644020240515222038182396</v>
      </c>
      <c r="F6086" s="9"/>
    </row>
    <row r="6087" s="2" customFormat="1" ht="30" customHeight="1" spans="1:6">
      <c r="A6087" s="9">
        <v>6084</v>
      </c>
      <c r="B6087" s="10" t="s">
        <v>4840</v>
      </c>
      <c r="C6087" s="10" t="s">
        <v>4841</v>
      </c>
      <c r="D6087" s="10" t="s">
        <v>1280</v>
      </c>
      <c r="E6087" s="10" t="str">
        <f>"644020240515221624182383"</f>
        <v>644020240515221624182383</v>
      </c>
      <c r="F6087" s="9"/>
    </row>
    <row r="6088" s="2" customFormat="1" ht="30" customHeight="1" spans="1:6">
      <c r="A6088" s="9">
        <v>6085</v>
      </c>
      <c r="B6088" s="10" t="s">
        <v>4840</v>
      </c>
      <c r="C6088" s="10" t="s">
        <v>4841</v>
      </c>
      <c r="D6088" s="10" t="s">
        <v>5899</v>
      </c>
      <c r="E6088" s="10" t="str">
        <f>"644020240515221529182378"</f>
        <v>644020240515221529182378</v>
      </c>
      <c r="F6088" s="9"/>
    </row>
    <row r="6089" s="2" customFormat="1" ht="30" customHeight="1" spans="1:6">
      <c r="A6089" s="9">
        <v>6086</v>
      </c>
      <c r="B6089" s="10" t="s">
        <v>4840</v>
      </c>
      <c r="C6089" s="10" t="s">
        <v>4841</v>
      </c>
      <c r="D6089" s="10" t="s">
        <v>5900</v>
      </c>
      <c r="E6089" s="10" t="str">
        <f>"644020240515220845182361"</f>
        <v>644020240515220845182361</v>
      </c>
      <c r="F6089" s="9"/>
    </row>
    <row r="6090" s="2" customFormat="1" ht="30" customHeight="1" spans="1:6">
      <c r="A6090" s="9">
        <v>6087</v>
      </c>
      <c r="B6090" s="10" t="s">
        <v>4840</v>
      </c>
      <c r="C6090" s="10" t="s">
        <v>4841</v>
      </c>
      <c r="D6090" s="10" t="s">
        <v>5901</v>
      </c>
      <c r="E6090" s="10" t="str">
        <f>"644020240515222026182393"</f>
        <v>644020240515222026182393</v>
      </c>
      <c r="F6090" s="9"/>
    </row>
    <row r="6091" s="2" customFormat="1" ht="30" customHeight="1" spans="1:6">
      <c r="A6091" s="9">
        <v>6088</v>
      </c>
      <c r="B6091" s="10" t="s">
        <v>4840</v>
      </c>
      <c r="C6091" s="10" t="s">
        <v>4841</v>
      </c>
      <c r="D6091" s="10" t="s">
        <v>5902</v>
      </c>
      <c r="E6091" s="10" t="str">
        <f>"644020240515223627182442"</f>
        <v>644020240515223627182442</v>
      </c>
      <c r="F6091" s="9"/>
    </row>
    <row r="6092" s="2" customFormat="1" ht="30" customHeight="1" spans="1:6">
      <c r="A6092" s="9">
        <v>6089</v>
      </c>
      <c r="B6092" s="10" t="s">
        <v>4840</v>
      </c>
      <c r="C6092" s="10" t="s">
        <v>4841</v>
      </c>
      <c r="D6092" s="10" t="s">
        <v>5903</v>
      </c>
      <c r="E6092" s="10" t="str">
        <f>"644020240515221808182386"</f>
        <v>644020240515221808182386</v>
      </c>
      <c r="F6092" s="9"/>
    </row>
    <row r="6093" s="2" customFormat="1" ht="30" customHeight="1" spans="1:6">
      <c r="A6093" s="9">
        <v>6090</v>
      </c>
      <c r="B6093" s="10" t="s">
        <v>4840</v>
      </c>
      <c r="C6093" s="10" t="s">
        <v>4841</v>
      </c>
      <c r="D6093" s="10" t="s">
        <v>5904</v>
      </c>
      <c r="E6093" s="10" t="str">
        <f>"644020240515224758182471"</f>
        <v>644020240515224758182471</v>
      </c>
      <c r="F6093" s="9"/>
    </row>
    <row r="6094" s="2" customFormat="1" ht="30" customHeight="1" spans="1:6">
      <c r="A6094" s="9">
        <v>6091</v>
      </c>
      <c r="B6094" s="10" t="s">
        <v>4840</v>
      </c>
      <c r="C6094" s="10" t="s">
        <v>4841</v>
      </c>
      <c r="D6094" s="10" t="s">
        <v>5905</v>
      </c>
      <c r="E6094" s="10" t="str">
        <f>"644020240513084410172381"</f>
        <v>644020240513084410172381</v>
      </c>
      <c r="F6094" s="9"/>
    </row>
    <row r="6095" s="2" customFormat="1" ht="30" customHeight="1" spans="1:6">
      <c r="A6095" s="9">
        <v>6092</v>
      </c>
      <c r="B6095" s="10" t="s">
        <v>4840</v>
      </c>
      <c r="C6095" s="10" t="s">
        <v>4841</v>
      </c>
      <c r="D6095" s="10" t="s">
        <v>5906</v>
      </c>
      <c r="E6095" s="10" t="str">
        <f>"644020240515222030182394"</f>
        <v>644020240515222030182394</v>
      </c>
      <c r="F6095" s="9"/>
    </row>
    <row r="6096" s="2" customFormat="1" ht="30" customHeight="1" spans="1:6">
      <c r="A6096" s="9">
        <v>6093</v>
      </c>
      <c r="B6096" s="10" t="s">
        <v>4840</v>
      </c>
      <c r="C6096" s="10" t="s">
        <v>4841</v>
      </c>
      <c r="D6096" s="10" t="s">
        <v>5907</v>
      </c>
      <c r="E6096" s="10" t="str">
        <f>"644020240515224903182472"</f>
        <v>644020240515224903182472</v>
      </c>
      <c r="F6096" s="9"/>
    </row>
    <row r="6097" s="2" customFormat="1" ht="30" customHeight="1" spans="1:6">
      <c r="A6097" s="9">
        <v>6094</v>
      </c>
      <c r="B6097" s="10" t="s">
        <v>4840</v>
      </c>
      <c r="C6097" s="10" t="s">
        <v>4841</v>
      </c>
      <c r="D6097" s="10" t="s">
        <v>5908</v>
      </c>
      <c r="E6097" s="10" t="str">
        <f>"644020240515220827182359"</f>
        <v>644020240515220827182359</v>
      </c>
      <c r="F6097" s="9"/>
    </row>
    <row r="6098" s="2" customFormat="1" ht="30" customHeight="1" spans="1:6">
      <c r="A6098" s="9">
        <v>6095</v>
      </c>
      <c r="B6098" s="10" t="s">
        <v>4840</v>
      </c>
      <c r="C6098" s="10" t="s">
        <v>4841</v>
      </c>
      <c r="D6098" s="10" t="s">
        <v>5909</v>
      </c>
      <c r="E6098" s="10" t="str">
        <f>"644020240515224356182464"</f>
        <v>644020240515224356182464</v>
      </c>
      <c r="F6098" s="9"/>
    </row>
    <row r="6099" s="2" customFormat="1" ht="30" customHeight="1" spans="1:6">
      <c r="A6099" s="9">
        <v>6096</v>
      </c>
      <c r="B6099" s="10" t="s">
        <v>4840</v>
      </c>
      <c r="C6099" s="10" t="s">
        <v>4841</v>
      </c>
      <c r="D6099" s="10" t="s">
        <v>5910</v>
      </c>
      <c r="E6099" s="10" t="str">
        <f>"644020240514161008179428"</f>
        <v>644020240514161008179428</v>
      </c>
      <c r="F6099" s="9"/>
    </row>
    <row r="6100" s="2" customFormat="1" ht="30" customHeight="1" spans="1:6">
      <c r="A6100" s="9">
        <v>6097</v>
      </c>
      <c r="B6100" s="10" t="s">
        <v>4840</v>
      </c>
      <c r="C6100" s="10" t="s">
        <v>4841</v>
      </c>
      <c r="D6100" s="10" t="s">
        <v>4411</v>
      </c>
      <c r="E6100" s="10" t="str">
        <f>"644020240515225236182484"</f>
        <v>644020240515225236182484</v>
      </c>
      <c r="F6100" s="9"/>
    </row>
    <row r="6101" s="2" customFormat="1" ht="30" customHeight="1" spans="1:6">
      <c r="A6101" s="9">
        <v>6098</v>
      </c>
      <c r="B6101" s="10" t="s">
        <v>4840</v>
      </c>
      <c r="C6101" s="10" t="s">
        <v>4841</v>
      </c>
      <c r="D6101" s="10" t="s">
        <v>5911</v>
      </c>
      <c r="E6101" s="10" t="str">
        <f>"644020240515224919182473"</f>
        <v>644020240515224919182473</v>
      </c>
      <c r="F6101" s="9"/>
    </row>
    <row r="6102" s="2" customFormat="1" ht="30" customHeight="1" spans="1:6">
      <c r="A6102" s="9">
        <v>6099</v>
      </c>
      <c r="B6102" s="10" t="s">
        <v>4840</v>
      </c>
      <c r="C6102" s="10" t="s">
        <v>4841</v>
      </c>
      <c r="D6102" s="10" t="s">
        <v>507</v>
      </c>
      <c r="E6102" s="10" t="str">
        <f>"644020240515225547182499"</f>
        <v>644020240515225547182499</v>
      </c>
      <c r="F6102" s="9"/>
    </row>
    <row r="6103" s="2" customFormat="1" ht="30" customHeight="1" spans="1:6">
      <c r="A6103" s="9">
        <v>6100</v>
      </c>
      <c r="B6103" s="10" t="s">
        <v>4840</v>
      </c>
      <c r="C6103" s="10" t="s">
        <v>4841</v>
      </c>
      <c r="D6103" s="10" t="s">
        <v>5912</v>
      </c>
      <c r="E6103" s="10" t="str">
        <f>"644020240515230536182520"</f>
        <v>644020240515230536182520</v>
      </c>
      <c r="F6103" s="9"/>
    </row>
    <row r="6104" s="2" customFormat="1" ht="30" customHeight="1" spans="1:6">
      <c r="A6104" s="9">
        <v>6101</v>
      </c>
      <c r="B6104" s="10" t="s">
        <v>4840</v>
      </c>
      <c r="C6104" s="10" t="s">
        <v>4841</v>
      </c>
      <c r="D6104" s="10" t="s">
        <v>5913</v>
      </c>
      <c r="E6104" s="10" t="str">
        <f>"644020240514210221180117"</f>
        <v>644020240514210221180117</v>
      </c>
      <c r="F6104" s="9"/>
    </row>
    <row r="6105" s="2" customFormat="1" ht="30" customHeight="1" spans="1:6">
      <c r="A6105" s="9">
        <v>6102</v>
      </c>
      <c r="B6105" s="10" t="s">
        <v>4840</v>
      </c>
      <c r="C6105" s="10" t="s">
        <v>4841</v>
      </c>
      <c r="D6105" s="10" t="s">
        <v>5914</v>
      </c>
      <c r="E6105" s="10" t="str">
        <f>"644020240514230707180476"</f>
        <v>644020240514230707180476</v>
      </c>
      <c r="F6105" s="9"/>
    </row>
    <row r="6106" s="2" customFormat="1" ht="30" customHeight="1" spans="1:6">
      <c r="A6106" s="9">
        <v>6103</v>
      </c>
      <c r="B6106" s="10" t="s">
        <v>4840</v>
      </c>
      <c r="C6106" s="10" t="s">
        <v>4841</v>
      </c>
      <c r="D6106" s="10" t="s">
        <v>5915</v>
      </c>
      <c r="E6106" s="10" t="str">
        <f>"644020240515225410182494"</f>
        <v>644020240515225410182494</v>
      </c>
      <c r="F6106" s="9"/>
    </row>
    <row r="6107" s="2" customFormat="1" ht="30" customHeight="1" spans="1:6">
      <c r="A6107" s="9">
        <v>6104</v>
      </c>
      <c r="B6107" s="10" t="s">
        <v>4840</v>
      </c>
      <c r="C6107" s="10" t="s">
        <v>4841</v>
      </c>
      <c r="D6107" s="10" t="s">
        <v>5916</v>
      </c>
      <c r="E6107" s="10" t="str">
        <f>"644020240515120011181323"</f>
        <v>644020240515120011181323</v>
      </c>
      <c r="F6107" s="9"/>
    </row>
    <row r="6108" s="2" customFormat="1" ht="30" customHeight="1" spans="1:6">
      <c r="A6108" s="9">
        <v>6105</v>
      </c>
      <c r="B6108" s="10" t="s">
        <v>4840</v>
      </c>
      <c r="C6108" s="10" t="s">
        <v>4841</v>
      </c>
      <c r="D6108" s="10" t="s">
        <v>5917</v>
      </c>
      <c r="E6108" s="10" t="str">
        <f>"644020240515225210182479"</f>
        <v>644020240515225210182479</v>
      </c>
      <c r="F6108" s="9"/>
    </row>
    <row r="6109" s="2" customFormat="1" ht="30" customHeight="1" spans="1:6">
      <c r="A6109" s="9">
        <v>6106</v>
      </c>
      <c r="B6109" s="10" t="s">
        <v>4840</v>
      </c>
      <c r="C6109" s="10" t="s">
        <v>4841</v>
      </c>
      <c r="D6109" s="10" t="s">
        <v>5918</v>
      </c>
      <c r="E6109" s="10" t="str">
        <f>"644020240515223733182446"</f>
        <v>644020240515223733182446</v>
      </c>
      <c r="F6109" s="9"/>
    </row>
    <row r="6110" s="2" customFormat="1" ht="30" customHeight="1" spans="1:6">
      <c r="A6110" s="9">
        <v>6107</v>
      </c>
      <c r="B6110" s="10" t="s">
        <v>4840</v>
      </c>
      <c r="C6110" s="10" t="s">
        <v>4841</v>
      </c>
      <c r="D6110" s="10" t="s">
        <v>5919</v>
      </c>
      <c r="E6110" s="10" t="str">
        <f>"644020240515131939181451"</f>
        <v>644020240515131939181451</v>
      </c>
      <c r="F6110" s="9"/>
    </row>
    <row r="6111" s="2" customFormat="1" ht="30" customHeight="1" spans="1:6">
      <c r="A6111" s="9">
        <v>6108</v>
      </c>
      <c r="B6111" s="10" t="s">
        <v>4840</v>
      </c>
      <c r="C6111" s="10" t="s">
        <v>4841</v>
      </c>
      <c r="D6111" s="10" t="s">
        <v>5920</v>
      </c>
      <c r="E6111" s="10" t="str">
        <f>"644020240515233403182580"</f>
        <v>644020240515233403182580</v>
      </c>
      <c r="F6111" s="9"/>
    </row>
    <row r="6112" s="2" customFormat="1" ht="30" customHeight="1" spans="1:6">
      <c r="A6112" s="9">
        <v>6109</v>
      </c>
      <c r="B6112" s="10" t="s">
        <v>4840</v>
      </c>
      <c r="C6112" s="10" t="s">
        <v>4841</v>
      </c>
      <c r="D6112" s="10" t="s">
        <v>5921</v>
      </c>
      <c r="E6112" s="10" t="str">
        <f>"644020240515233228182575"</f>
        <v>644020240515233228182575</v>
      </c>
      <c r="F6112" s="9"/>
    </row>
    <row r="6113" s="2" customFormat="1" ht="30" customHeight="1" spans="1:6">
      <c r="A6113" s="9">
        <v>6110</v>
      </c>
      <c r="B6113" s="10" t="s">
        <v>4840</v>
      </c>
      <c r="C6113" s="10" t="s">
        <v>4841</v>
      </c>
      <c r="D6113" s="10" t="s">
        <v>5922</v>
      </c>
      <c r="E6113" s="10" t="str">
        <f>"644020240515234902182604"</f>
        <v>644020240515234902182604</v>
      </c>
      <c r="F6113" s="9"/>
    </row>
    <row r="6114" s="2" customFormat="1" ht="30" customHeight="1" spans="1:6">
      <c r="A6114" s="9">
        <v>6111</v>
      </c>
      <c r="B6114" s="10" t="s">
        <v>4840</v>
      </c>
      <c r="C6114" s="10" t="s">
        <v>4841</v>
      </c>
      <c r="D6114" s="10" t="s">
        <v>5923</v>
      </c>
      <c r="E6114" s="10" t="str">
        <f>"644020240515234913182606"</f>
        <v>644020240515234913182606</v>
      </c>
      <c r="F6114" s="9"/>
    </row>
    <row r="6115" s="2" customFormat="1" ht="30" customHeight="1" spans="1:6">
      <c r="A6115" s="9">
        <v>6112</v>
      </c>
      <c r="B6115" s="10" t="s">
        <v>4840</v>
      </c>
      <c r="C6115" s="10" t="s">
        <v>4841</v>
      </c>
      <c r="D6115" s="10" t="s">
        <v>5924</v>
      </c>
      <c r="E6115" s="10" t="str">
        <f>"644020240515231848182547"</f>
        <v>644020240515231848182547</v>
      </c>
      <c r="F6115" s="9"/>
    </row>
    <row r="6116" s="2" customFormat="1" ht="30" customHeight="1" spans="1:6">
      <c r="A6116" s="9">
        <v>6113</v>
      </c>
      <c r="B6116" s="10" t="s">
        <v>4840</v>
      </c>
      <c r="C6116" s="10" t="s">
        <v>4841</v>
      </c>
      <c r="D6116" s="10" t="s">
        <v>5925</v>
      </c>
      <c r="E6116" s="10" t="str">
        <f>"644020240515232548182566"</f>
        <v>644020240515232548182566</v>
      </c>
      <c r="F6116" s="9"/>
    </row>
    <row r="6117" s="2" customFormat="1" ht="30" customHeight="1" spans="1:6">
      <c r="A6117" s="9">
        <v>6114</v>
      </c>
      <c r="B6117" s="10" t="s">
        <v>4840</v>
      </c>
      <c r="C6117" s="10" t="s">
        <v>4841</v>
      </c>
      <c r="D6117" s="10" t="s">
        <v>4397</v>
      </c>
      <c r="E6117" s="10" t="str">
        <f>"644020240516000112182626"</f>
        <v>644020240516000112182626</v>
      </c>
      <c r="F6117" s="9"/>
    </row>
    <row r="6118" s="2" customFormat="1" ht="30" customHeight="1" spans="1:6">
      <c r="A6118" s="9">
        <v>6115</v>
      </c>
      <c r="B6118" s="10" t="s">
        <v>4840</v>
      </c>
      <c r="C6118" s="10" t="s">
        <v>4841</v>
      </c>
      <c r="D6118" s="10" t="s">
        <v>5926</v>
      </c>
      <c r="E6118" s="10" t="str">
        <f>"644020240515225818182506"</f>
        <v>644020240515225818182506</v>
      </c>
      <c r="F6118" s="9"/>
    </row>
    <row r="6119" s="2" customFormat="1" ht="30" customHeight="1" spans="1:6">
      <c r="A6119" s="9">
        <v>6116</v>
      </c>
      <c r="B6119" s="10" t="s">
        <v>4840</v>
      </c>
      <c r="C6119" s="10" t="s">
        <v>4841</v>
      </c>
      <c r="D6119" s="10" t="s">
        <v>5927</v>
      </c>
      <c r="E6119" s="10" t="str">
        <f>"644020240515232216182553"</f>
        <v>644020240515232216182553</v>
      </c>
      <c r="F6119" s="9"/>
    </row>
    <row r="6120" s="2" customFormat="1" ht="30" customHeight="1" spans="1:6">
      <c r="A6120" s="9">
        <v>6117</v>
      </c>
      <c r="B6120" s="10" t="s">
        <v>4840</v>
      </c>
      <c r="C6120" s="10" t="s">
        <v>4841</v>
      </c>
      <c r="D6120" s="10" t="s">
        <v>4368</v>
      </c>
      <c r="E6120" s="10" t="str">
        <f>"644020240516001516182651"</f>
        <v>644020240516001516182651</v>
      </c>
      <c r="F6120" s="9"/>
    </row>
    <row r="6121" s="2" customFormat="1" ht="30" customHeight="1" spans="1:6">
      <c r="A6121" s="9">
        <v>6118</v>
      </c>
      <c r="B6121" s="10" t="s">
        <v>4840</v>
      </c>
      <c r="C6121" s="10" t="s">
        <v>4841</v>
      </c>
      <c r="D6121" s="10" t="s">
        <v>5928</v>
      </c>
      <c r="E6121" s="10" t="str">
        <f>"644020240515153233181704"</f>
        <v>644020240515153233181704</v>
      </c>
      <c r="F6121" s="9"/>
    </row>
    <row r="6122" s="2" customFormat="1" ht="30" customHeight="1" spans="1:6">
      <c r="A6122" s="9">
        <v>6119</v>
      </c>
      <c r="B6122" s="10" t="s">
        <v>4840</v>
      </c>
      <c r="C6122" s="10" t="s">
        <v>4841</v>
      </c>
      <c r="D6122" s="10" t="s">
        <v>5929</v>
      </c>
      <c r="E6122" s="10" t="str">
        <f>"644020240515231817182545"</f>
        <v>644020240515231817182545</v>
      </c>
      <c r="F6122" s="9"/>
    </row>
    <row r="6123" s="2" customFormat="1" ht="30" customHeight="1" spans="1:6">
      <c r="A6123" s="9">
        <v>6120</v>
      </c>
      <c r="B6123" s="10" t="s">
        <v>4840</v>
      </c>
      <c r="C6123" s="10" t="s">
        <v>4841</v>
      </c>
      <c r="D6123" s="10" t="s">
        <v>1850</v>
      </c>
      <c r="E6123" s="10" t="str">
        <f>"644020240515000403180572"</f>
        <v>644020240515000403180572</v>
      </c>
      <c r="F6123" s="9"/>
    </row>
    <row r="6124" s="2" customFormat="1" ht="30" customHeight="1" spans="1:6">
      <c r="A6124" s="9">
        <v>6121</v>
      </c>
      <c r="B6124" s="10" t="s">
        <v>4840</v>
      </c>
      <c r="C6124" s="10" t="s">
        <v>4841</v>
      </c>
      <c r="D6124" s="10" t="s">
        <v>5930</v>
      </c>
      <c r="E6124" s="10" t="str">
        <f>"644020240515232314182556"</f>
        <v>644020240515232314182556</v>
      </c>
      <c r="F6124" s="9"/>
    </row>
    <row r="6125" s="2" customFormat="1" ht="30" customHeight="1" spans="1:6">
      <c r="A6125" s="9">
        <v>6122</v>
      </c>
      <c r="B6125" s="10" t="s">
        <v>4840</v>
      </c>
      <c r="C6125" s="10" t="s">
        <v>4841</v>
      </c>
      <c r="D6125" s="10" t="s">
        <v>5931</v>
      </c>
      <c r="E6125" s="10" t="str">
        <f>"644020240516001829182653"</f>
        <v>644020240516001829182653</v>
      </c>
      <c r="F6125" s="9"/>
    </row>
    <row r="6126" s="2" customFormat="1" ht="30" customHeight="1" spans="1:6">
      <c r="A6126" s="9">
        <v>6123</v>
      </c>
      <c r="B6126" s="10" t="s">
        <v>4840</v>
      </c>
      <c r="C6126" s="10" t="s">
        <v>4841</v>
      </c>
      <c r="D6126" s="10" t="s">
        <v>5932</v>
      </c>
      <c r="E6126" s="10" t="str">
        <f>"644020240516000923182638"</f>
        <v>644020240516000923182638</v>
      </c>
      <c r="F6126" s="9"/>
    </row>
    <row r="6127" s="2" customFormat="1" ht="30" customHeight="1" spans="1:6">
      <c r="A6127" s="9">
        <v>6124</v>
      </c>
      <c r="B6127" s="10" t="s">
        <v>4840</v>
      </c>
      <c r="C6127" s="10" t="s">
        <v>4841</v>
      </c>
      <c r="D6127" s="10" t="s">
        <v>5933</v>
      </c>
      <c r="E6127" s="10" t="str">
        <f>"644020240516002130182659"</f>
        <v>644020240516002130182659</v>
      </c>
      <c r="F6127" s="9"/>
    </row>
    <row r="6128" s="2" customFormat="1" ht="30" customHeight="1" spans="1:6">
      <c r="A6128" s="9">
        <v>6125</v>
      </c>
      <c r="B6128" s="10" t="s">
        <v>4840</v>
      </c>
      <c r="C6128" s="10" t="s">
        <v>4841</v>
      </c>
      <c r="D6128" s="10" t="s">
        <v>5934</v>
      </c>
      <c r="E6128" s="10" t="str">
        <f>"644020240516002533182662"</f>
        <v>644020240516002533182662</v>
      </c>
      <c r="F6128" s="9"/>
    </row>
    <row r="6129" s="2" customFormat="1" ht="30" customHeight="1" spans="1:6">
      <c r="A6129" s="9">
        <v>6126</v>
      </c>
      <c r="B6129" s="10" t="s">
        <v>4840</v>
      </c>
      <c r="C6129" s="10" t="s">
        <v>4841</v>
      </c>
      <c r="D6129" s="10" t="s">
        <v>5935</v>
      </c>
      <c r="E6129" s="10" t="str">
        <f>"644020240516004556182667"</f>
        <v>644020240516004556182667</v>
      </c>
      <c r="F6129" s="9"/>
    </row>
    <row r="6130" s="2" customFormat="1" ht="30" customHeight="1" spans="1:6">
      <c r="A6130" s="9">
        <v>6127</v>
      </c>
      <c r="B6130" s="10" t="s">
        <v>4840</v>
      </c>
      <c r="C6130" s="10" t="s">
        <v>4841</v>
      </c>
      <c r="D6130" s="10" t="s">
        <v>2081</v>
      </c>
      <c r="E6130" s="10" t="str">
        <f>"644020240515223402182436"</f>
        <v>644020240515223402182436</v>
      </c>
      <c r="F6130" s="9"/>
    </row>
    <row r="6131" s="2" customFormat="1" ht="30" customHeight="1" spans="1:6">
      <c r="A6131" s="9">
        <v>6128</v>
      </c>
      <c r="B6131" s="10" t="s">
        <v>4840</v>
      </c>
      <c r="C6131" s="10" t="s">
        <v>4841</v>
      </c>
      <c r="D6131" s="10" t="s">
        <v>5936</v>
      </c>
      <c r="E6131" s="10" t="str">
        <f>"644020240515225108182475"</f>
        <v>644020240515225108182475</v>
      </c>
      <c r="F6131" s="9"/>
    </row>
    <row r="6132" s="2" customFormat="1" ht="30" customHeight="1" spans="1:6">
      <c r="A6132" s="9">
        <v>6129</v>
      </c>
      <c r="B6132" s="10" t="s">
        <v>4840</v>
      </c>
      <c r="C6132" s="10" t="s">
        <v>4841</v>
      </c>
      <c r="D6132" s="10" t="s">
        <v>5937</v>
      </c>
      <c r="E6132" s="10" t="str">
        <f>"644020240516000009182623"</f>
        <v>644020240516000009182623</v>
      </c>
      <c r="F6132" s="9"/>
    </row>
    <row r="6133" s="2" customFormat="1" ht="30" customHeight="1" spans="1:6">
      <c r="A6133" s="9">
        <v>6130</v>
      </c>
      <c r="B6133" s="10" t="s">
        <v>4840</v>
      </c>
      <c r="C6133" s="10" t="s">
        <v>4841</v>
      </c>
      <c r="D6133" s="10" t="s">
        <v>5938</v>
      </c>
      <c r="E6133" s="10" t="str">
        <f>"644020240516010004182677"</f>
        <v>644020240516010004182677</v>
      </c>
      <c r="F6133" s="9"/>
    </row>
    <row r="6134" s="2" customFormat="1" ht="30" customHeight="1" spans="1:6">
      <c r="A6134" s="9">
        <v>6131</v>
      </c>
      <c r="B6134" s="10" t="s">
        <v>4840</v>
      </c>
      <c r="C6134" s="10" t="s">
        <v>4841</v>
      </c>
      <c r="D6134" s="10" t="s">
        <v>4325</v>
      </c>
      <c r="E6134" s="10" t="str">
        <f>"644020240516012614182688"</f>
        <v>644020240516012614182688</v>
      </c>
      <c r="F6134" s="9"/>
    </row>
    <row r="6135" s="2" customFormat="1" ht="30" customHeight="1" spans="1:6">
      <c r="A6135" s="9">
        <v>6132</v>
      </c>
      <c r="B6135" s="10" t="s">
        <v>4840</v>
      </c>
      <c r="C6135" s="10" t="s">
        <v>4841</v>
      </c>
      <c r="D6135" s="10" t="s">
        <v>5939</v>
      </c>
      <c r="E6135" s="10" t="str">
        <f>"644020240514231943180503"</f>
        <v>644020240514231943180503</v>
      </c>
      <c r="F6135" s="9"/>
    </row>
    <row r="6136" s="2" customFormat="1" ht="30" customHeight="1" spans="1:6">
      <c r="A6136" s="9">
        <v>6133</v>
      </c>
      <c r="B6136" s="10" t="s">
        <v>4840</v>
      </c>
      <c r="C6136" s="10" t="s">
        <v>4841</v>
      </c>
      <c r="D6136" s="10" t="s">
        <v>5940</v>
      </c>
      <c r="E6136" s="10" t="str">
        <f>"644020240516005447182673"</f>
        <v>644020240516005447182673</v>
      </c>
      <c r="F6136" s="9"/>
    </row>
    <row r="6137" s="2" customFormat="1" ht="30" customHeight="1" spans="1:6">
      <c r="A6137" s="9">
        <v>6134</v>
      </c>
      <c r="B6137" s="10" t="s">
        <v>4840</v>
      </c>
      <c r="C6137" s="10" t="s">
        <v>4841</v>
      </c>
      <c r="D6137" s="10" t="s">
        <v>5941</v>
      </c>
      <c r="E6137" s="10" t="str">
        <f>"644020240516010353182678"</f>
        <v>644020240516010353182678</v>
      </c>
      <c r="F6137" s="9"/>
    </row>
    <row r="6138" s="2" customFormat="1" ht="30" customHeight="1" spans="1:6">
      <c r="A6138" s="9">
        <v>6135</v>
      </c>
      <c r="B6138" s="10" t="s">
        <v>4840</v>
      </c>
      <c r="C6138" s="10" t="s">
        <v>4841</v>
      </c>
      <c r="D6138" s="10" t="s">
        <v>5942</v>
      </c>
      <c r="E6138" s="10" t="str">
        <f>"644020240514213229180213"</f>
        <v>644020240514213229180213</v>
      </c>
      <c r="F6138" s="9"/>
    </row>
    <row r="6139" s="2" customFormat="1" ht="30" customHeight="1" spans="1:6">
      <c r="A6139" s="9">
        <v>6136</v>
      </c>
      <c r="B6139" s="10" t="s">
        <v>4840</v>
      </c>
      <c r="C6139" s="10" t="s">
        <v>4841</v>
      </c>
      <c r="D6139" s="10" t="s">
        <v>5943</v>
      </c>
      <c r="E6139" s="10" t="str">
        <f>"644020240513153007175469"</f>
        <v>644020240513153007175469</v>
      </c>
      <c r="F6139" s="9"/>
    </row>
    <row r="6140" s="2" customFormat="1" ht="30" customHeight="1" spans="1:6">
      <c r="A6140" s="9">
        <v>6137</v>
      </c>
      <c r="B6140" s="10" t="s">
        <v>4840</v>
      </c>
      <c r="C6140" s="10" t="s">
        <v>4841</v>
      </c>
      <c r="D6140" s="10" t="s">
        <v>5944</v>
      </c>
      <c r="E6140" s="10" t="str">
        <f>"644020240516065527182718"</f>
        <v>644020240516065527182718</v>
      </c>
      <c r="F6140" s="9"/>
    </row>
    <row r="6141" s="2" customFormat="1" ht="30" customHeight="1" spans="1:6">
      <c r="A6141" s="9">
        <v>6138</v>
      </c>
      <c r="B6141" s="10" t="s">
        <v>4840</v>
      </c>
      <c r="C6141" s="10" t="s">
        <v>4841</v>
      </c>
      <c r="D6141" s="10" t="s">
        <v>5374</v>
      </c>
      <c r="E6141" s="10" t="str">
        <f>"644020240516072044182720"</f>
        <v>644020240516072044182720</v>
      </c>
      <c r="F6141" s="9"/>
    </row>
    <row r="6142" s="2" customFormat="1" ht="30" customHeight="1" spans="1:6">
      <c r="A6142" s="9">
        <v>6139</v>
      </c>
      <c r="B6142" s="10" t="s">
        <v>4840</v>
      </c>
      <c r="C6142" s="10" t="s">
        <v>4841</v>
      </c>
      <c r="D6142" s="10" t="s">
        <v>5945</v>
      </c>
      <c r="E6142" s="10" t="str">
        <f>"644020240515231026182533"</f>
        <v>644020240515231026182533</v>
      </c>
      <c r="F6142" s="9"/>
    </row>
    <row r="6143" s="2" customFormat="1" ht="30" customHeight="1" spans="1:6">
      <c r="A6143" s="9">
        <v>6140</v>
      </c>
      <c r="B6143" s="10" t="s">
        <v>4840</v>
      </c>
      <c r="C6143" s="10" t="s">
        <v>4841</v>
      </c>
      <c r="D6143" s="10" t="s">
        <v>5946</v>
      </c>
      <c r="E6143" s="10" t="str">
        <f>"644020240516064959182715"</f>
        <v>644020240516064959182715</v>
      </c>
      <c r="F6143" s="9"/>
    </row>
    <row r="6144" s="2" customFormat="1" ht="30" customHeight="1" spans="1:6">
      <c r="A6144" s="9">
        <v>6141</v>
      </c>
      <c r="B6144" s="10" t="s">
        <v>4840</v>
      </c>
      <c r="C6144" s="10" t="s">
        <v>4841</v>
      </c>
      <c r="D6144" s="10" t="s">
        <v>5947</v>
      </c>
      <c r="E6144" s="10" t="str">
        <f>"644020240513194511176673"</f>
        <v>644020240513194511176673</v>
      </c>
      <c r="F6144" s="9"/>
    </row>
    <row r="6145" s="2" customFormat="1" ht="30" customHeight="1" spans="1:6">
      <c r="A6145" s="9">
        <v>6142</v>
      </c>
      <c r="B6145" s="10" t="s">
        <v>4840</v>
      </c>
      <c r="C6145" s="10" t="s">
        <v>4841</v>
      </c>
      <c r="D6145" s="10" t="s">
        <v>5948</v>
      </c>
      <c r="E6145" s="10" t="str">
        <f>"644020240515175005182038"</f>
        <v>644020240515175005182038</v>
      </c>
      <c r="F6145" s="9"/>
    </row>
    <row r="6146" s="2" customFormat="1" ht="30" customHeight="1" spans="1:6">
      <c r="A6146" s="9">
        <v>6143</v>
      </c>
      <c r="B6146" s="10" t="s">
        <v>4840</v>
      </c>
      <c r="C6146" s="10" t="s">
        <v>4841</v>
      </c>
      <c r="D6146" s="10" t="s">
        <v>5949</v>
      </c>
      <c r="E6146" s="10" t="str">
        <f>"644020240516080341182739"</f>
        <v>644020240516080341182739</v>
      </c>
      <c r="F6146" s="9"/>
    </row>
    <row r="6147" s="2" customFormat="1" ht="30" customHeight="1" spans="1:6">
      <c r="A6147" s="9">
        <v>6144</v>
      </c>
      <c r="B6147" s="10" t="s">
        <v>4840</v>
      </c>
      <c r="C6147" s="10" t="s">
        <v>4841</v>
      </c>
      <c r="D6147" s="10" t="s">
        <v>5950</v>
      </c>
      <c r="E6147" s="10" t="str">
        <f>"644020240512221119171395"</f>
        <v>644020240512221119171395</v>
      </c>
      <c r="F6147" s="9"/>
    </row>
    <row r="6148" s="2" customFormat="1" ht="30" customHeight="1" spans="1:6">
      <c r="A6148" s="9">
        <v>6145</v>
      </c>
      <c r="B6148" s="10" t="s">
        <v>4840</v>
      </c>
      <c r="C6148" s="10" t="s">
        <v>4841</v>
      </c>
      <c r="D6148" s="10" t="s">
        <v>5951</v>
      </c>
      <c r="E6148" s="10" t="str">
        <f>"644020240513234357177613"</f>
        <v>644020240513234357177613</v>
      </c>
      <c r="F6148" s="9"/>
    </row>
    <row r="6149" s="2" customFormat="1" ht="30" customHeight="1" spans="1:6">
      <c r="A6149" s="9">
        <v>6146</v>
      </c>
      <c r="B6149" s="10" t="s">
        <v>4840</v>
      </c>
      <c r="C6149" s="10" t="s">
        <v>4841</v>
      </c>
      <c r="D6149" s="10" t="s">
        <v>5952</v>
      </c>
      <c r="E6149" s="10" t="str">
        <f>"644020240516083218182777"</f>
        <v>644020240516083218182777</v>
      </c>
      <c r="F6149" s="9"/>
    </row>
    <row r="6150" s="2" customFormat="1" ht="30" customHeight="1" spans="1:6">
      <c r="A6150" s="9">
        <v>6147</v>
      </c>
      <c r="B6150" s="10" t="s">
        <v>4840</v>
      </c>
      <c r="C6150" s="10" t="s">
        <v>4841</v>
      </c>
      <c r="D6150" s="10" t="s">
        <v>229</v>
      </c>
      <c r="E6150" s="10" t="str">
        <f>"644020240516083114182774"</f>
        <v>644020240516083114182774</v>
      </c>
      <c r="F6150" s="9"/>
    </row>
    <row r="6151" s="2" customFormat="1" ht="30" customHeight="1" spans="1:6">
      <c r="A6151" s="9">
        <v>6148</v>
      </c>
      <c r="B6151" s="10" t="s">
        <v>4840</v>
      </c>
      <c r="C6151" s="10" t="s">
        <v>4841</v>
      </c>
      <c r="D6151" s="10" t="s">
        <v>5953</v>
      </c>
      <c r="E6151" s="10" t="str">
        <f>"644020240515153427181708"</f>
        <v>644020240515153427181708</v>
      </c>
      <c r="F6151" s="9"/>
    </row>
    <row r="6152" s="2" customFormat="1" ht="30" customHeight="1" spans="1:6">
      <c r="A6152" s="9">
        <v>6149</v>
      </c>
      <c r="B6152" s="10" t="s">
        <v>4840</v>
      </c>
      <c r="C6152" s="10" t="s">
        <v>4841</v>
      </c>
      <c r="D6152" s="10" t="s">
        <v>5954</v>
      </c>
      <c r="E6152" s="10" t="str">
        <f>"644020240516083645182782"</f>
        <v>644020240516083645182782</v>
      </c>
      <c r="F6152" s="9"/>
    </row>
    <row r="6153" s="2" customFormat="1" ht="30" customHeight="1" spans="1:6">
      <c r="A6153" s="9">
        <v>6150</v>
      </c>
      <c r="B6153" s="10" t="s">
        <v>4840</v>
      </c>
      <c r="C6153" s="10" t="s">
        <v>4841</v>
      </c>
      <c r="D6153" s="10" t="s">
        <v>5955</v>
      </c>
      <c r="E6153" s="10" t="str">
        <f>"644020240515152629181686"</f>
        <v>644020240515152629181686</v>
      </c>
      <c r="F6153" s="9"/>
    </row>
    <row r="6154" s="2" customFormat="1" ht="30" customHeight="1" spans="1:6">
      <c r="A6154" s="9">
        <v>6151</v>
      </c>
      <c r="B6154" s="10" t="s">
        <v>4840</v>
      </c>
      <c r="C6154" s="10" t="s">
        <v>4841</v>
      </c>
      <c r="D6154" s="10" t="s">
        <v>5956</v>
      </c>
      <c r="E6154" s="10" t="str">
        <f>"644020240516082150182757"</f>
        <v>644020240516082150182757</v>
      </c>
      <c r="F6154" s="9"/>
    </row>
    <row r="6155" s="2" customFormat="1" ht="30" customHeight="1" spans="1:6">
      <c r="A6155" s="9">
        <v>6152</v>
      </c>
      <c r="B6155" s="10" t="s">
        <v>4840</v>
      </c>
      <c r="C6155" s="10" t="s">
        <v>4841</v>
      </c>
      <c r="D6155" s="10" t="s">
        <v>5957</v>
      </c>
      <c r="E6155" s="10" t="str">
        <f>"644020240515085244180746"</f>
        <v>644020240515085244180746</v>
      </c>
      <c r="F6155" s="9"/>
    </row>
    <row r="6156" s="2" customFormat="1" ht="30" customHeight="1" spans="1:6">
      <c r="A6156" s="9">
        <v>6153</v>
      </c>
      <c r="B6156" s="10" t="s">
        <v>4840</v>
      </c>
      <c r="C6156" s="10" t="s">
        <v>4841</v>
      </c>
      <c r="D6156" s="10" t="s">
        <v>5958</v>
      </c>
      <c r="E6156" s="10" t="str">
        <f>"644020240515091957180821"</f>
        <v>644020240515091957180821</v>
      </c>
      <c r="F6156" s="9"/>
    </row>
    <row r="6157" s="2" customFormat="1" ht="30" customHeight="1" spans="1:6">
      <c r="A6157" s="9">
        <v>6154</v>
      </c>
      <c r="B6157" s="10" t="s">
        <v>4840</v>
      </c>
      <c r="C6157" s="10" t="s">
        <v>4841</v>
      </c>
      <c r="D6157" s="10" t="s">
        <v>5959</v>
      </c>
      <c r="E6157" s="10" t="str">
        <f>"644020240514084226177891"</f>
        <v>644020240514084226177891</v>
      </c>
      <c r="F6157" s="9"/>
    </row>
    <row r="6158" s="2" customFormat="1" ht="30" customHeight="1" spans="1:6">
      <c r="A6158" s="9">
        <v>6155</v>
      </c>
      <c r="B6158" s="10" t="s">
        <v>4840</v>
      </c>
      <c r="C6158" s="10" t="s">
        <v>4841</v>
      </c>
      <c r="D6158" s="10" t="s">
        <v>4878</v>
      </c>
      <c r="E6158" s="10" t="str">
        <f>"644020240516093319182884"</f>
        <v>644020240516093319182884</v>
      </c>
      <c r="F6158" s="9"/>
    </row>
    <row r="6159" s="2" customFormat="1" ht="30" customHeight="1" spans="1:6">
      <c r="A6159" s="9">
        <v>6156</v>
      </c>
      <c r="B6159" s="10" t="s">
        <v>4840</v>
      </c>
      <c r="C6159" s="10" t="s">
        <v>4841</v>
      </c>
      <c r="D6159" s="10" t="s">
        <v>5960</v>
      </c>
      <c r="E6159" s="10" t="str">
        <f>"644020240516093749182894"</f>
        <v>644020240516093749182894</v>
      </c>
      <c r="F6159" s="9"/>
    </row>
    <row r="6160" s="2" customFormat="1" ht="30" customHeight="1" spans="1:6">
      <c r="A6160" s="9">
        <v>6157</v>
      </c>
      <c r="B6160" s="10" t="s">
        <v>4840</v>
      </c>
      <c r="C6160" s="10" t="s">
        <v>4841</v>
      </c>
      <c r="D6160" s="10" t="s">
        <v>5961</v>
      </c>
      <c r="E6160" s="10" t="str">
        <f>"644020240516092849182873"</f>
        <v>644020240516092849182873</v>
      </c>
      <c r="F6160" s="9"/>
    </row>
    <row r="6161" s="2" customFormat="1" ht="30" customHeight="1" spans="1:6">
      <c r="A6161" s="9">
        <v>6158</v>
      </c>
      <c r="B6161" s="10" t="s">
        <v>4840</v>
      </c>
      <c r="C6161" s="10" t="s">
        <v>4841</v>
      </c>
      <c r="D6161" s="10" t="s">
        <v>5962</v>
      </c>
      <c r="E6161" s="10" t="str">
        <f>"644020240516093507182888"</f>
        <v>644020240516093507182888</v>
      </c>
      <c r="F6161" s="9"/>
    </row>
    <row r="6162" s="2" customFormat="1" ht="30" customHeight="1" spans="1:6">
      <c r="A6162" s="9">
        <v>6159</v>
      </c>
      <c r="B6162" s="10" t="s">
        <v>4840</v>
      </c>
      <c r="C6162" s="10" t="s">
        <v>4841</v>
      </c>
      <c r="D6162" s="10" t="s">
        <v>5963</v>
      </c>
      <c r="E6162" s="10" t="str">
        <f>"644020240516093812182897"</f>
        <v>644020240516093812182897</v>
      </c>
      <c r="F6162" s="9"/>
    </row>
    <row r="6163" s="2" customFormat="1" ht="30" customHeight="1" spans="1:6">
      <c r="A6163" s="9">
        <v>6160</v>
      </c>
      <c r="B6163" s="10" t="s">
        <v>4840</v>
      </c>
      <c r="C6163" s="10" t="s">
        <v>4841</v>
      </c>
      <c r="D6163" s="10" t="s">
        <v>5964</v>
      </c>
      <c r="E6163" s="10" t="str">
        <f>"644020240515225401182490"</f>
        <v>644020240515225401182490</v>
      </c>
      <c r="F6163" s="9"/>
    </row>
    <row r="6164" s="2" customFormat="1" ht="30" customHeight="1" spans="1:6">
      <c r="A6164" s="9">
        <v>6161</v>
      </c>
      <c r="B6164" s="10" t="s">
        <v>4840</v>
      </c>
      <c r="C6164" s="10" t="s">
        <v>4841</v>
      </c>
      <c r="D6164" s="10" t="s">
        <v>865</v>
      </c>
      <c r="E6164" s="10" t="str">
        <f>"644020240516094847182922"</f>
        <v>644020240516094847182922</v>
      </c>
      <c r="F6164" s="9"/>
    </row>
    <row r="6165" s="2" customFormat="1" ht="30" customHeight="1" spans="1:6">
      <c r="A6165" s="9">
        <v>6162</v>
      </c>
      <c r="B6165" s="10" t="s">
        <v>4840</v>
      </c>
      <c r="C6165" s="10" t="s">
        <v>4841</v>
      </c>
      <c r="D6165" s="10" t="s">
        <v>5965</v>
      </c>
      <c r="E6165" s="10" t="str">
        <f>"644020240515235353182616"</f>
        <v>644020240515235353182616</v>
      </c>
      <c r="F6165" s="9"/>
    </row>
    <row r="6166" s="2" customFormat="1" ht="30" customHeight="1" spans="1:6">
      <c r="A6166" s="9">
        <v>6163</v>
      </c>
      <c r="B6166" s="10" t="s">
        <v>4840</v>
      </c>
      <c r="C6166" s="10" t="s">
        <v>4841</v>
      </c>
      <c r="D6166" s="10" t="s">
        <v>5966</v>
      </c>
      <c r="E6166" s="10" t="str">
        <f>"644020240516100049182955"</f>
        <v>644020240516100049182955</v>
      </c>
      <c r="F6166" s="9"/>
    </row>
    <row r="6167" s="2" customFormat="1" ht="30" customHeight="1" spans="1:6">
      <c r="A6167" s="9">
        <v>6164</v>
      </c>
      <c r="B6167" s="10" t="s">
        <v>4840</v>
      </c>
      <c r="C6167" s="10" t="s">
        <v>4841</v>
      </c>
      <c r="D6167" s="10" t="s">
        <v>5967</v>
      </c>
      <c r="E6167" s="10" t="str">
        <f>"644020240513095352173065"</f>
        <v>644020240513095352173065</v>
      </c>
      <c r="F6167" s="9"/>
    </row>
    <row r="6168" s="2" customFormat="1" ht="30" customHeight="1" spans="1:6">
      <c r="A6168" s="9">
        <v>6165</v>
      </c>
      <c r="B6168" s="10" t="s">
        <v>4840</v>
      </c>
      <c r="C6168" s="10" t="s">
        <v>4841</v>
      </c>
      <c r="D6168" s="10" t="s">
        <v>5968</v>
      </c>
      <c r="E6168" s="10" t="str">
        <f>"644020240516095643182943"</f>
        <v>644020240516095643182943</v>
      </c>
      <c r="F6168" s="9"/>
    </row>
    <row r="6169" s="2" customFormat="1" ht="30" customHeight="1" spans="1:6">
      <c r="A6169" s="9">
        <v>6166</v>
      </c>
      <c r="B6169" s="10" t="s">
        <v>4840</v>
      </c>
      <c r="C6169" s="10" t="s">
        <v>4841</v>
      </c>
      <c r="D6169" s="10" t="s">
        <v>5969</v>
      </c>
      <c r="E6169" s="10" t="str">
        <f>"644020240515165629181945"</f>
        <v>644020240515165629181945</v>
      </c>
      <c r="F6169" s="9"/>
    </row>
    <row r="6170" s="2" customFormat="1" ht="30" customHeight="1" spans="1:6">
      <c r="A6170" s="9">
        <v>6167</v>
      </c>
      <c r="B6170" s="10" t="s">
        <v>4840</v>
      </c>
      <c r="C6170" s="10" t="s">
        <v>4841</v>
      </c>
      <c r="D6170" s="10" t="s">
        <v>5970</v>
      </c>
      <c r="E6170" s="10" t="str">
        <f>"644020240516101224182979"</f>
        <v>644020240516101224182979</v>
      </c>
      <c r="F6170" s="9"/>
    </row>
    <row r="6171" s="2" customFormat="1" ht="30" customHeight="1" spans="1:6">
      <c r="A6171" s="9">
        <v>6168</v>
      </c>
      <c r="B6171" s="10" t="s">
        <v>4840</v>
      </c>
      <c r="C6171" s="10" t="s">
        <v>4841</v>
      </c>
      <c r="D6171" s="10" t="s">
        <v>5971</v>
      </c>
      <c r="E6171" s="10" t="str">
        <f>"644020240516101802182998"</f>
        <v>644020240516101802182998</v>
      </c>
      <c r="F6171" s="9"/>
    </row>
    <row r="6172" s="2" customFormat="1" ht="30" customHeight="1" spans="1:6">
      <c r="A6172" s="9">
        <v>6169</v>
      </c>
      <c r="B6172" s="10" t="s">
        <v>4840</v>
      </c>
      <c r="C6172" s="10" t="s">
        <v>4841</v>
      </c>
      <c r="D6172" s="10" t="s">
        <v>5972</v>
      </c>
      <c r="E6172" s="10" t="str">
        <f>"644020240515094817180909"</f>
        <v>644020240515094817180909</v>
      </c>
      <c r="F6172" s="9"/>
    </row>
    <row r="6173" s="2" customFormat="1" ht="30" customHeight="1" spans="1:6">
      <c r="A6173" s="9">
        <v>6170</v>
      </c>
      <c r="B6173" s="10" t="s">
        <v>4840</v>
      </c>
      <c r="C6173" s="10" t="s">
        <v>4841</v>
      </c>
      <c r="D6173" s="10" t="s">
        <v>4002</v>
      </c>
      <c r="E6173" s="10" t="str">
        <f>"644020240516103237183036"</f>
        <v>644020240516103237183036</v>
      </c>
      <c r="F6173" s="9"/>
    </row>
    <row r="6174" s="2" customFormat="1" ht="30" customHeight="1" spans="1:6">
      <c r="A6174" s="9">
        <v>6171</v>
      </c>
      <c r="B6174" s="10" t="s">
        <v>4840</v>
      </c>
      <c r="C6174" s="10" t="s">
        <v>4841</v>
      </c>
      <c r="D6174" s="10" t="s">
        <v>5973</v>
      </c>
      <c r="E6174" s="10" t="str">
        <f>"644020240516094633182914"</f>
        <v>644020240516094633182914</v>
      </c>
      <c r="F6174" s="9"/>
    </row>
    <row r="6175" s="2" customFormat="1" ht="30" customHeight="1" spans="1:6">
      <c r="A6175" s="9">
        <v>6172</v>
      </c>
      <c r="B6175" s="10" t="s">
        <v>4840</v>
      </c>
      <c r="C6175" s="10" t="s">
        <v>4841</v>
      </c>
      <c r="D6175" s="10" t="s">
        <v>5974</v>
      </c>
      <c r="E6175" s="10" t="str">
        <f>"644020240516092950182877"</f>
        <v>644020240516092950182877</v>
      </c>
      <c r="F6175" s="9"/>
    </row>
    <row r="6176" s="2" customFormat="1" ht="30" customHeight="1" spans="1:6">
      <c r="A6176" s="9">
        <v>6173</v>
      </c>
      <c r="B6176" s="10" t="s">
        <v>4840</v>
      </c>
      <c r="C6176" s="10" t="s">
        <v>4841</v>
      </c>
      <c r="D6176" s="10" t="s">
        <v>5975</v>
      </c>
      <c r="E6176" s="10" t="str">
        <f>"644020240516102430183017"</f>
        <v>644020240516102430183017</v>
      </c>
      <c r="F6176" s="9"/>
    </row>
    <row r="6177" s="2" customFormat="1" ht="30" customHeight="1" spans="1:6">
      <c r="A6177" s="9">
        <v>6174</v>
      </c>
      <c r="B6177" s="10" t="s">
        <v>4840</v>
      </c>
      <c r="C6177" s="10" t="s">
        <v>4841</v>
      </c>
      <c r="D6177" s="10" t="s">
        <v>5976</v>
      </c>
      <c r="E6177" s="10" t="str">
        <f>"644020240516093552182889"</f>
        <v>644020240516093552182889</v>
      </c>
      <c r="F6177" s="9"/>
    </row>
    <row r="6178" s="2" customFormat="1" ht="30" customHeight="1" spans="1:6">
      <c r="A6178" s="9">
        <v>6175</v>
      </c>
      <c r="B6178" s="10" t="s">
        <v>4840</v>
      </c>
      <c r="C6178" s="10" t="s">
        <v>4841</v>
      </c>
      <c r="D6178" s="10" t="s">
        <v>5977</v>
      </c>
      <c r="E6178" s="10" t="str">
        <f>"644020240516102037183006"</f>
        <v>644020240516102037183006</v>
      </c>
      <c r="F6178" s="9"/>
    </row>
    <row r="6179" s="2" customFormat="1" ht="30" customHeight="1" spans="1:6">
      <c r="A6179" s="9">
        <v>6176</v>
      </c>
      <c r="B6179" s="10" t="s">
        <v>4840</v>
      </c>
      <c r="C6179" s="10" t="s">
        <v>4841</v>
      </c>
      <c r="D6179" s="10" t="s">
        <v>5978</v>
      </c>
      <c r="E6179" s="10" t="str">
        <f>"644020240516104536183057"</f>
        <v>644020240516104536183057</v>
      </c>
      <c r="F6179" s="9"/>
    </row>
    <row r="6180" s="2" customFormat="1" ht="30" customHeight="1" spans="1:6">
      <c r="A6180" s="9">
        <v>6177</v>
      </c>
      <c r="B6180" s="10" t="s">
        <v>4840</v>
      </c>
      <c r="C6180" s="10" t="s">
        <v>4841</v>
      </c>
      <c r="D6180" s="10" t="s">
        <v>5979</v>
      </c>
      <c r="E6180" s="10" t="str">
        <f>"644020240516103049183031"</f>
        <v>644020240516103049183031</v>
      </c>
      <c r="F6180" s="9"/>
    </row>
    <row r="6181" s="2" customFormat="1" ht="30" customHeight="1" spans="1:6">
      <c r="A6181" s="9">
        <v>6178</v>
      </c>
      <c r="B6181" s="10" t="s">
        <v>4840</v>
      </c>
      <c r="C6181" s="10" t="s">
        <v>4841</v>
      </c>
      <c r="D6181" s="10" t="s">
        <v>5980</v>
      </c>
      <c r="E6181" s="10" t="str">
        <f>"644020240513110750173757"</f>
        <v>644020240513110750173757</v>
      </c>
      <c r="F6181" s="9"/>
    </row>
    <row r="6182" s="2" customFormat="1" ht="30" customHeight="1" spans="1:6">
      <c r="A6182" s="9">
        <v>6179</v>
      </c>
      <c r="B6182" s="10" t="s">
        <v>4840</v>
      </c>
      <c r="C6182" s="10" t="s">
        <v>4841</v>
      </c>
      <c r="D6182" s="10" t="s">
        <v>5981</v>
      </c>
      <c r="E6182" s="10" t="str">
        <f>"644020240516104510183053"</f>
        <v>644020240516104510183053</v>
      </c>
      <c r="F6182" s="9"/>
    </row>
    <row r="6183" s="2" customFormat="1" ht="30" customHeight="1" spans="1:6">
      <c r="A6183" s="9">
        <v>6180</v>
      </c>
      <c r="B6183" s="10" t="s">
        <v>4840</v>
      </c>
      <c r="C6183" s="10" t="s">
        <v>4841</v>
      </c>
      <c r="D6183" s="10" t="s">
        <v>5982</v>
      </c>
      <c r="E6183" s="10" t="str">
        <f>"644020240513200852176756"</f>
        <v>644020240513200852176756</v>
      </c>
      <c r="F6183" s="9"/>
    </row>
    <row r="6184" s="2" customFormat="1" ht="30" customHeight="1" spans="1:6">
      <c r="A6184" s="9">
        <v>6181</v>
      </c>
      <c r="B6184" s="10" t="s">
        <v>4840</v>
      </c>
      <c r="C6184" s="10" t="s">
        <v>4841</v>
      </c>
      <c r="D6184" s="10" t="s">
        <v>5983</v>
      </c>
      <c r="E6184" s="10" t="str">
        <f>"644020240513200328176735"</f>
        <v>644020240513200328176735</v>
      </c>
      <c r="F6184" s="9"/>
    </row>
    <row r="6185" s="2" customFormat="1" ht="30" customHeight="1" spans="1:6">
      <c r="A6185" s="9">
        <v>6182</v>
      </c>
      <c r="B6185" s="10" t="s">
        <v>4840</v>
      </c>
      <c r="C6185" s="10" t="s">
        <v>4841</v>
      </c>
      <c r="D6185" s="10" t="s">
        <v>5984</v>
      </c>
      <c r="E6185" s="10" t="str">
        <f>"644020240515095308180928"</f>
        <v>644020240515095308180928</v>
      </c>
      <c r="F6185" s="9"/>
    </row>
    <row r="6186" s="2" customFormat="1" ht="30" customHeight="1" spans="1:6">
      <c r="A6186" s="9">
        <v>6183</v>
      </c>
      <c r="B6186" s="10" t="s">
        <v>4840</v>
      </c>
      <c r="C6186" s="10" t="s">
        <v>4841</v>
      </c>
      <c r="D6186" s="10" t="s">
        <v>5985</v>
      </c>
      <c r="E6186" s="10" t="str">
        <f>"644020240516095158182928"</f>
        <v>644020240516095158182928</v>
      </c>
      <c r="F6186" s="9"/>
    </row>
    <row r="6187" s="2" customFormat="1" ht="30" customHeight="1" spans="1:6">
      <c r="A6187" s="9">
        <v>6184</v>
      </c>
      <c r="B6187" s="10" t="s">
        <v>4840</v>
      </c>
      <c r="C6187" s="10" t="s">
        <v>4841</v>
      </c>
      <c r="D6187" s="10" t="s">
        <v>5986</v>
      </c>
      <c r="E6187" s="10" t="str">
        <f>"644020240516085757182804"</f>
        <v>644020240516085757182804</v>
      </c>
      <c r="F6187" s="9"/>
    </row>
    <row r="6188" s="2" customFormat="1" ht="30" customHeight="1" spans="1:6">
      <c r="A6188" s="9">
        <v>6185</v>
      </c>
      <c r="B6188" s="10" t="s">
        <v>4840</v>
      </c>
      <c r="C6188" s="10" t="s">
        <v>4841</v>
      </c>
      <c r="D6188" s="10" t="s">
        <v>5987</v>
      </c>
      <c r="E6188" s="10" t="str">
        <f>"644020240516110637183120"</f>
        <v>644020240516110637183120</v>
      </c>
      <c r="F6188" s="9"/>
    </row>
    <row r="6189" s="2" customFormat="1" ht="30" customHeight="1" spans="1:6">
      <c r="A6189" s="9">
        <v>6186</v>
      </c>
      <c r="B6189" s="10" t="s">
        <v>4840</v>
      </c>
      <c r="C6189" s="10" t="s">
        <v>4841</v>
      </c>
      <c r="D6189" s="10" t="s">
        <v>5988</v>
      </c>
      <c r="E6189" s="10" t="str">
        <f>"644020240515222623182415"</f>
        <v>644020240515222623182415</v>
      </c>
      <c r="F6189" s="9"/>
    </row>
    <row r="6190" s="2" customFormat="1" ht="30" customHeight="1" spans="1:6">
      <c r="A6190" s="9">
        <v>6187</v>
      </c>
      <c r="B6190" s="10" t="s">
        <v>4840</v>
      </c>
      <c r="C6190" s="10" t="s">
        <v>4841</v>
      </c>
      <c r="D6190" s="10" t="s">
        <v>5989</v>
      </c>
      <c r="E6190" s="10" t="str">
        <f>"644020240514112856178716"</f>
        <v>644020240514112856178716</v>
      </c>
      <c r="F6190" s="9"/>
    </row>
    <row r="6191" s="2" customFormat="1" ht="30" customHeight="1" spans="1:6">
      <c r="A6191" s="9">
        <v>6188</v>
      </c>
      <c r="B6191" s="10" t="s">
        <v>4840</v>
      </c>
      <c r="C6191" s="10" t="s">
        <v>4841</v>
      </c>
      <c r="D6191" s="10" t="s">
        <v>5990</v>
      </c>
      <c r="E6191" s="10" t="str">
        <f>"644020240516111142183136"</f>
        <v>644020240516111142183136</v>
      </c>
      <c r="F6191" s="9"/>
    </row>
    <row r="6192" s="2" customFormat="1" ht="30" customHeight="1" spans="1:6">
      <c r="A6192" s="9">
        <v>6189</v>
      </c>
      <c r="B6192" s="10" t="s">
        <v>4840</v>
      </c>
      <c r="C6192" s="10" t="s">
        <v>4841</v>
      </c>
      <c r="D6192" s="10" t="s">
        <v>5991</v>
      </c>
      <c r="E6192" s="10" t="str">
        <f>"644020240516105414183090"</f>
        <v>644020240516105414183090</v>
      </c>
      <c r="F6192" s="9"/>
    </row>
    <row r="6193" s="2" customFormat="1" ht="30" customHeight="1" spans="1:6">
      <c r="A6193" s="9">
        <v>6190</v>
      </c>
      <c r="B6193" s="10" t="s">
        <v>4840</v>
      </c>
      <c r="C6193" s="10" t="s">
        <v>4841</v>
      </c>
      <c r="D6193" s="10" t="s">
        <v>5992</v>
      </c>
      <c r="E6193" s="10" t="str">
        <f>"644020240516104654183064"</f>
        <v>644020240516104654183064</v>
      </c>
      <c r="F6193" s="9"/>
    </row>
    <row r="6194" s="2" customFormat="1" ht="30" customHeight="1" spans="1:6">
      <c r="A6194" s="9">
        <v>6191</v>
      </c>
      <c r="B6194" s="10" t="s">
        <v>4840</v>
      </c>
      <c r="C6194" s="10" t="s">
        <v>4841</v>
      </c>
      <c r="D6194" s="10" t="s">
        <v>5993</v>
      </c>
      <c r="E6194" s="10" t="str">
        <f>"644020240516111800183153"</f>
        <v>644020240516111800183153</v>
      </c>
      <c r="F6194" s="9"/>
    </row>
    <row r="6195" s="2" customFormat="1" ht="30" customHeight="1" spans="1:6">
      <c r="A6195" s="9">
        <v>6192</v>
      </c>
      <c r="B6195" s="10" t="s">
        <v>4840</v>
      </c>
      <c r="C6195" s="10" t="s">
        <v>4841</v>
      </c>
      <c r="D6195" s="10" t="s">
        <v>5994</v>
      </c>
      <c r="E6195" s="10" t="str">
        <f>"644020240516111120183134"</f>
        <v>644020240516111120183134</v>
      </c>
      <c r="F6195" s="9"/>
    </row>
    <row r="6196" s="2" customFormat="1" ht="30" customHeight="1" spans="1:6">
      <c r="A6196" s="9">
        <v>6193</v>
      </c>
      <c r="B6196" s="10" t="s">
        <v>4840</v>
      </c>
      <c r="C6196" s="10" t="s">
        <v>4841</v>
      </c>
      <c r="D6196" s="10" t="s">
        <v>5995</v>
      </c>
      <c r="E6196" s="10" t="str">
        <f>"644020240514121315178856"</f>
        <v>644020240514121315178856</v>
      </c>
      <c r="F6196" s="9"/>
    </row>
    <row r="6197" s="2" customFormat="1" ht="30" customHeight="1" spans="1:6">
      <c r="A6197" s="9">
        <v>6194</v>
      </c>
      <c r="B6197" s="10" t="s">
        <v>4840</v>
      </c>
      <c r="C6197" s="10" t="s">
        <v>4841</v>
      </c>
      <c r="D6197" s="10" t="s">
        <v>5996</v>
      </c>
      <c r="E6197" s="10" t="str">
        <f>"644020240515094518180897"</f>
        <v>644020240515094518180897</v>
      </c>
      <c r="F6197" s="9"/>
    </row>
    <row r="6198" s="2" customFormat="1" ht="30" customHeight="1" spans="1:6">
      <c r="A6198" s="9">
        <v>6195</v>
      </c>
      <c r="B6198" s="10" t="s">
        <v>4840</v>
      </c>
      <c r="C6198" s="10" t="s">
        <v>4841</v>
      </c>
      <c r="D6198" s="10" t="s">
        <v>5997</v>
      </c>
      <c r="E6198" s="10" t="str">
        <f>"644020240516112405183165"</f>
        <v>644020240516112405183165</v>
      </c>
      <c r="F6198" s="9"/>
    </row>
    <row r="6199" s="2" customFormat="1" ht="30" customHeight="1" spans="1:6">
      <c r="A6199" s="9">
        <v>6196</v>
      </c>
      <c r="B6199" s="10" t="s">
        <v>4840</v>
      </c>
      <c r="C6199" s="10" t="s">
        <v>4841</v>
      </c>
      <c r="D6199" s="10" t="s">
        <v>5998</v>
      </c>
      <c r="E6199" s="10" t="str">
        <f>"644020240516112152183159"</f>
        <v>644020240516112152183159</v>
      </c>
      <c r="F6199" s="9"/>
    </row>
    <row r="6200" s="2" customFormat="1" ht="30" customHeight="1" spans="1:6">
      <c r="A6200" s="9">
        <v>6197</v>
      </c>
      <c r="B6200" s="10" t="s">
        <v>4840</v>
      </c>
      <c r="C6200" s="10" t="s">
        <v>4841</v>
      </c>
      <c r="D6200" s="10" t="s">
        <v>5999</v>
      </c>
      <c r="E6200" s="10" t="str">
        <f>"644020240516112729183172"</f>
        <v>644020240516112729183172</v>
      </c>
      <c r="F6200" s="9"/>
    </row>
    <row r="6201" s="2" customFormat="1" ht="30" customHeight="1" spans="1:6">
      <c r="A6201" s="9">
        <v>6198</v>
      </c>
      <c r="B6201" s="10" t="s">
        <v>4840</v>
      </c>
      <c r="C6201" s="10" t="s">
        <v>4841</v>
      </c>
      <c r="D6201" s="10" t="s">
        <v>6000</v>
      </c>
      <c r="E6201" s="10" t="str">
        <f>"644020240516085910182807"</f>
        <v>644020240516085910182807</v>
      </c>
      <c r="F6201" s="9"/>
    </row>
    <row r="6202" s="2" customFormat="1" ht="30" customHeight="1" spans="1:6">
      <c r="A6202" s="9">
        <v>6199</v>
      </c>
      <c r="B6202" s="10" t="s">
        <v>4840</v>
      </c>
      <c r="C6202" s="10" t="s">
        <v>4841</v>
      </c>
      <c r="D6202" s="10" t="s">
        <v>6001</v>
      </c>
      <c r="E6202" s="10" t="str">
        <f>"644020240516111805183155"</f>
        <v>644020240516111805183155</v>
      </c>
      <c r="F6202" s="9"/>
    </row>
    <row r="6203" s="2" customFormat="1" ht="30" customHeight="1" spans="1:6">
      <c r="A6203" s="9">
        <v>6200</v>
      </c>
      <c r="B6203" s="10" t="s">
        <v>4840</v>
      </c>
      <c r="C6203" s="10" t="s">
        <v>4841</v>
      </c>
      <c r="D6203" s="10" t="s">
        <v>4234</v>
      </c>
      <c r="E6203" s="10" t="str">
        <f>"644020240514215007180268"</f>
        <v>644020240514215007180268</v>
      </c>
      <c r="F6203" s="9"/>
    </row>
    <row r="6204" s="2" customFormat="1" ht="30" customHeight="1" spans="1:6">
      <c r="A6204" s="9">
        <v>6201</v>
      </c>
      <c r="B6204" s="10" t="s">
        <v>4840</v>
      </c>
      <c r="C6204" s="10" t="s">
        <v>4841</v>
      </c>
      <c r="D6204" s="10" t="s">
        <v>6002</v>
      </c>
      <c r="E6204" s="10" t="str">
        <f>"644020240516092429182860"</f>
        <v>644020240516092429182860</v>
      </c>
      <c r="F6204" s="9"/>
    </row>
    <row r="6205" s="2" customFormat="1" ht="30" customHeight="1" spans="1:6">
      <c r="A6205" s="9">
        <v>6202</v>
      </c>
      <c r="B6205" s="10" t="s">
        <v>4840</v>
      </c>
      <c r="C6205" s="10" t="s">
        <v>4841</v>
      </c>
      <c r="D6205" s="10" t="s">
        <v>6003</v>
      </c>
      <c r="E6205" s="10" t="str">
        <f>"644020240515220643182355"</f>
        <v>644020240515220643182355</v>
      </c>
      <c r="F6205" s="9"/>
    </row>
    <row r="6206" s="2" customFormat="1" ht="30" customHeight="1" spans="1:6">
      <c r="A6206" s="9">
        <v>6203</v>
      </c>
      <c r="B6206" s="10" t="s">
        <v>4840</v>
      </c>
      <c r="C6206" s="10" t="s">
        <v>4841</v>
      </c>
      <c r="D6206" s="10" t="s">
        <v>6004</v>
      </c>
      <c r="E6206" s="10" t="str">
        <f>"644020240515230901182528"</f>
        <v>644020240515230901182528</v>
      </c>
      <c r="F6206" s="9"/>
    </row>
    <row r="6207" s="2" customFormat="1" ht="30" customHeight="1" spans="1:6">
      <c r="A6207" s="9">
        <v>6204</v>
      </c>
      <c r="B6207" s="10" t="s">
        <v>4840</v>
      </c>
      <c r="C6207" s="10" t="s">
        <v>4841</v>
      </c>
      <c r="D6207" s="10" t="s">
        <v>6005</v>
      </c>
      <c r="E6207" s="10" t="str">
        <f>"644020240516082230182759"</f>
        <v>644020240516082230182759</v>
      </c>
      <c r="F6207" s="9"/>
    </row>
    <row r="6208" s="2" customFormat="1" ht="30" customHeight="1" spans="1:6">
      <c r="A6208" s="9">
        <v>6205</v>
      </c>
      <c r="B6208" s="10" t="s">
        <v>4840</v>
      </c>
      <c r="C6208" s="10" t="s">
        <v>4841</v>
      </c>
      <c r="D6208" s="10" t="s">
        <v>6006</v>
      </c>
      <c r="E6208" s="10" t="str">
        <f>"644020240516115014183207"</f>
        <v>644020240516115014183207</v>
      </c>
      <c r="F6208" s="9"/>
    </row>
    <row r="6209" s="2" customFormat="1" ht="30" customHeight="1" spans="1:6">
      <c r="A6209" s="9">
        <v>6206</v>
      </c>
      <c r="B6209" s="10" t="s">
        <v>4840</v>
      </c>
      <c r="C6209" s="10" t="s">
        <v>4841</v>
      </c>
      <c r="D6209" s="10" t="s">
        <v>6007</v>
      </c>
      <c r="E6209" s="10" t="str">
        <f>"644020240514153751179333"</f>
        <v>644020240514153751179333</v>
      </c>
      <c r="F6209" s="9"/>
    </row>
    <row r="6210" s="2" customFormat="1" ht="30" customHeight="1" spans="1:6">
      <c r="A6210" s="9">
        <v>6207</v>
      </c>
      <c r="B6210" s="10" t="s">
        <v>4840</v>
      </c>
      <c r="C6210" s="10" t="s">
        <v>4841</v>
      </c>
      <c r="D6210" s="10" t="s">
        <v>3811</v>
      </c>
      <c r="E6210" s="10" t="str">
        <f>"644020240516115131183212"</f>
        <v>644020240516115131183212</v>
      </c>
      <c r="F6210" s="9"/>
    </row>
    <row r="6211" s="2" customFormat="1" ht="30" customHeight="1" spans="1:6">
      <c r="A6211" s="9">
        <v>6208</v>
      </c>
      <c r="B6211" s="10" t="s">
        <v>4840</v>
      </c>
      <c r="C6211" s="10" t="s">
        <v>4841</v>
      </c>
      <c r="D6211" s="10" t="s">
        <v>146</v>
      </c>
      <c r="E6211" s="10" t="str">
        <f>"644020240515173233182011"</f>
        <v>644020240515173233182011</v>
      </c>
      <c r="F6211" s="9"/>
    </row>
    <row r="6212" s="2" customFormat="1" ht="30" customHeight="1" spans="1:6">
      <c r="A6212" s="9">
        <v>6209</v>
      </c>
      <c r="B6212" s="10" t="s">
        <v>4840</v>
      </c>
      <c r="C6212" s="10" t="s">
        <v>4841</v>
      </c>
      <c r="D6212" s="10" t="s">
        <v>4289</v>
      </c>
      <c r="E6212" s="10" t="str">
        <f>"644020240516115537183217"</f>
        <v>644020240516115537183217</v>
      </c>
      <c r="F6212" s="9"/>
    </row>
    <row r="6213" s="2" customFormat="1" ht="30" customHeight="1" spans="1:6">
      <c r="A6213" s="9">
        <v>6210</v>
      </c>
      <c r="B6213" s="10" t="s">
        <v>4840</v>
      </c>
      <c r="C6213" s="10" t="s">
        <v>4841</v>
      </c>
      <c r="D6213" s="10" t="s">
        <v>6008</v>
      </c>
      <c r="E6213" s="10" t="str">
        <f>"644020240516105535183092"</f>
        <v>644020240516105535183092</v>
      </c>
      <c r="F6213" s="9"/>
    </row>
    <row r="6214" s="2" customFormat="1" ht="30" customHeight="1" spans="1:6">
      <c r="A6214" s="9">
        <v>6211</v>
      </c>
      <c r="B6214" s="10" t="s">
        <v>4840</v>
      </c>
      <c r="C6214" s="10" t="s">
        <v>4841</v>
      </c>
      <c r="D6214" s="10" t="s">
        <v>6009</v>
      </c>
      <c r="E6214" s="10" t="str">
        <f>"644020240516120759183238"</f>
        <v>644020240516120759183238</v>
      </c>
      <c r="F6214" s="9"/>
    </row>
    <row r="6215" s="2" customFormat="1" ht="30" customHeight="1" spans="1:6">
      <c r="A6215" s="9">
        <v>6212</v>
      </c>
      <c r="B6215" s="10" t="s">
        <v>4840</v>
      </c>
      <c r="C6215" s="10" t="s">
        <v>4841</v>
      </c>
      <c r="D6215" s="10" t="s">
        <v>6010</v>
      </c>
      <c r="E6215" s="10" t="str">
        <f>"644020240516083701182784"</f>
        <v>644020240516083701182784</v>
      </c>
      <c r="F6215" s="9"/>
    </row>
    <row r="6216" s="2" customFormat="1" ht="30" customHeight="1" spans="1:6">
      <c r="A6216" s="9">
        <v>6213</v>
      </c>
      <c r="B6216" s="10" t="s">
        <v>4840</v>
      </c>
      <c r="C6216" s="10" t="s">
        <v>4841</v>
      </c>
      <c r="D6216" s="10" t="s">
        <v>6011</v>
      </c>
      <c r="E6216" s="10" t="str">
        <f>"644020240515225729182503"</f>
        <v>644020240515225729182503</v>
      </c>
      <c r="F6216" s="9"/>
    </row>
    <row r="6217" s="2" customFormat="1" ht="30" customHeight="1" spans="1:6">
      <c r="A6217" s="9">
        <v>6214</v>
      </c>
      <c r="B6217" s="10" t="s">
        <v>4840</v>
      </c>
      <c r="C6217" s="10" t="s">
        <v>4841</v>
      </c>
      <c r="D6217" s="10" t="s">
        <v>6012</v>
      </c>
      <c r="E6217" s="10" t="str">
        <f>"644020240516120801183239"</f>
        <v>644020240516120801183239</v>
      </c>
      <c r="F6217" s="9"/>
    </row>
    <row r="6218" s="2" customFormat="1" ht="30" customHeight="1" spans="1:6">
      <c r="A6218" s="9">
        <v>6215</v>
      </c>
      <c r="B6218" s="10" t="s">
        <v>4840</v>
      </c>
      <c r="C6218" s="10" t="s">
        <v>4841</v>
      </c>
      <c r="D6218" s="10" t="s">
        <v>6013</v>
      </c>
      <c r="E6218" s="10" t="str">
        <f>"644020240514172840179705"</f>
        <v>644020240514172840179705</v>
      </c>
      <c r="F6218" s="9"/>
    </row>
    <row r="6219" s="2" customFormat="1" ht="30" customHeight="1" spans="1:6">
      <c r="A6219" s="9">
        <v>6216</v>
      </c>
      <c r="B6219" s="10" t="s">
        <v>4840</v>
      </c>
      <c r="C6219" s="10" t="s">
        <v>4841</v>
      </c>
      <c r="D6219" s="10" t="s">
        <v>6014</v>
      </c>
      <c r="E6219" s="10" t="str">
        <f>"644020240513184646176467"</f>
        <v>644020240513184646176467</v>
      </c>
      <c r="F6219" s="9"/>
    </row>
    <row r="6220" s="2" customFormat="1" ht="30" customHeight="1" spans="1:6">
      <c r="A6220" s="9">
        <v>6217</v>
      </c>
      <c r="B6220" s="10" t="s">
        <v>4840</v>
      </c>
      <c r="C6220" s="10" t="s">
        <v>4841</v>
      </c>
      <c r="D6220" s="10" t="s">
        <v>6015</v>
      </c>
      <c r="E6220" s="10" t="str">
        <f>"644020240513163923175990"</f>
        <v>644020240513163923175990</v>
      </c>
      <c r="F6220" s="9"/>
    </row>
    <row r="6221" s="2" customFormat="1" ht="30" customHeight="1" spans="1:6">
      <c r="A6221" s="9">
        <v>6218</v>
      </c>
      <c r="B6221" s="10" t="s">
        <v>4840</v>
      </c>
      <c r="C6221" s="10" t="s">
        <v>4841</v>
      </c>
      <c r="D6221" s="10" t="s">
        <v>6016</v>
      </c>
      <c r="E6221" s="10" t="str">
        <f>"644020240516120845183242"</f>
        <v>644020240516120845183242</v>
      </c>
      <c r="F6221" s="9"/>
    </row>
    <row r="6222" s="2" customFormat="1" ht="30" customHeight="1" spans="1:6">
      <c r="A6222" s="9">
        <v>6219</v>
      </c>
      <c r="B6222" s="10" t="s">
        <v>4840</v>
      </c>
      <c r="C6222" s="10" t="s">
        <v>4841</v>
      </c>
      <c r="D6222" s="10" t="s">
        <v>6017</v>
      </c>
      <c r="E6222" s="10" t="str">
        <f>"644020240514104850178548"</f>
        <v>644020240514104850178548</v>
      </c>
      <c r="F6222" s="9"/>
    </row>
    <row r="6223" s="2" customFormat="1" ht="30" customHeight="1" spans="1:6">
      <c r="A6223" s="9">
        <v>6220</v>
      </c>
      <c r="B6223" s="10" t="s">
        <v>4840</v>
      </c>
      <c r="C6223" s="10" t="s">
        <v>4841</v>
      </c>
      <c r="D6223" s="10" t="s">
        <v>6018</v>
      </c>
      <c r="E6223" s="10" t="str">
        <f>"644020240513161835175884"</f>
        <v>644020240513161835175884</v>
      </c>
      <c r="F6223" s="9"/>
    </row>
    <row r="6224" s="2" customFormat="1" ht="30" customHeight="1" spans="1:6">
      <c r="A6224" s="9">
        <v>6221</v>
      </c>
      <c r="B6224" s="10" t="s">
        <v>4840</v>
      </c>
      <c r="C6224" s="10" t="s">
        <v>4841</v>
      </c>
      <c r="D6224" s="10" t="s">
        <v>6019</v>
      </c>
      <c r="E6224" s="10" t="str">
        <f>"644020240516121144183247"</f>
        <v>644020240516121144183247</v>
      </c>
      <c r="F6224" s="9"/>
    </row>
    <row r="6225" s="2" customFormat="1" ht="30" customHeight="1" spans="1:6">
      <c r="A6225" s="9">
        <v>6222</v>
      </c>
      <c r="B6225" s="10" t="s">
        <v>4840</v>
      </c>
      <c r="C6225" s="10" t="s">
        <v>4841</v>
      </c>
      <c r="D6225" s="10" t="s">
        <v>6020</v>
      </c>
      <c r="E6225" s="10" t="str">
        <f>"644020240516124316183300"</f>
        <v>644020240516124316183300</v>
      </c>
      <c r="F6225" s="9"/>
    </row>
    <row r="6226" s="2" customFormat="1" ht="30" customHeight="1" spans="1:6">
      <c r="A6226" s="9">
        <v>6223</v>
      </c>
      <c r="B6226" s="10" t="s">
        <v>4840</v>
      </c>
      <c r="C6226" s="10" t="s">
        <v>4841</v>
      </c>
      <c r="D6226" s="10" t="s">
        <v>6021</v>
      </c>
      <c r="E6226" s="10" t="str">
        <f>"644020240516121144183248"</f>
        <v>644020240516121144183248</v>
      </c>
      <c r="F6226" s="9"/>
    </row>
    <row r="6227" s="2" customFormat="1" ht="30" customHeight="1" spans="1:6">
      <c r="A6227" s="9">
        <v>6224</v>
      </c>
      <c r="B6227" s="10" t="s">
        <v>4840</v>
      </c>
      <c r="C6227" s="10" t="s">
        <v>4841</v>
      </c>
      <c r="D6227" s="10" t="s">
        <v>6022</v>
      </c>
      <c r="E6227" s="10" t="str">
        <f>"644020240516121958183259"</f>
        <v>644020240516121958183259</v>
      </c>
      <c r="F6227" s="9"/>
    </row>
    <row r="6228" s="2" customFormat="1" ht="30" customHeight="1" spans="1:6">
      <c r="A6228" s="9">
        <v>6225</v>
      </c>
      <c r="B6228" s="10" t="s">
        <v>4840</v>
      </c>
      <c r="C6228" s="10" t="s">
        <v>4841</v>
      </c>
      <c r="D6228" s="10" t="s">
        <v>6023</v>
      </c>
      <c r="E6228" s="10" t="str">
        <f>"644020240516124942183311"</f>
        <v>644020240516124942183311</v>
      </c>
      <c r="F6228" s="9"/>
    </row>
    <row r="6229" s="2" customFormat="1" ht="30" customHeight="1" spans="1:6">
      <c r="A6229" s="9">
        <v>6226</v>
      </c>
      <c r="B6229" s="10" t="s">
        <v>4840</v>
      </c>
      <c r="C6229" s="10" t="s">
        <v>4841</v>
      </c>
      <c r="D6229" s="10" t="s">
        <v>6024</v>
      </c>
      <c r="E6229" s="10" t="str">
        <f>"644020240516122242183266"</f>
        <v>644020240516122242183266</v>
      </c>
      <c r="F6229" s="9"/>
    </row>
    <row r="6230" s="2" customFormat="1" ht="30" customHeight="1" spans="1:6">
      <c r="A6230" s="9">
        <v>6227</v>
      </c>
      <c r="B6230" s="10" t="s">
        <v>4840</v>
      </c>
      <c r="C6230" s="10" t="s">
        <v>4841</v>
      </c>
      <c r="D6230" s="10" t="s">
        <v>6025</v>
      </c>
      <c r="E6230" s="10" t="str">
        <f>"644020240513182812176421"</f>
        <v>644020240513182812176421</v>
      </c>
      <c r="F6230" s="9"/>
    </row>
    <row r="6231" s="2" customFormat="1" ht="30" customHeight="1" spans="1:6">
      <c r="A6231" s="9">
        <v>6228</v>
      </c>
      <c r="B6231" s="10" t="s">
        <v>4840</v>
      </c>
      <c r="C6231" s="10" t="s">
        <v>4841</v>
      </c>
      <c r="D6231" s="10" t="s">
        <v>6026</v>
      </c>
      <c r="E6231" s="10" t="str">
        <f>"644020240516124440183305"</f>
        <v>644020240516124440183305</v>
      </c>
      <c r="F6231" s="9"/>
    </row>
    <row r="6232" s="2" customFormat="1" ht="30" customHeight="1" spans="1:6">
      <c r="A6232" s="9">
        <v>6229</v>
      </c>
      <c r="B6232" s="10" t="s">
        <v>4840</v>
      </c>
      <c r="C6232" s="10" t="s">
        <v>4841</v>
      </c>
      <c r="D6232" s="10" t="s">
        <v>6027</v>
      </c>
      <c r="E6232" s="10" t="str">
        <f>"644020240516111250183141"</f>
        <v>644020240516111250183141</v>
      </c>
      <c r="F6232" s="9"/>
    </row>
    <row r="6233" s="2" customFormat="1" ht="30" customHeight="1" spans="1:6">
      <c r="A6233" s="9">
        <v>6230</v>
      </c>
      <c r="B6233" s="10" t="s">
        <v>4840</v>
      </c>
      <c r="C6233" s="10" t="s">
        <v>4841</v>
      </c>
      <c r="D6233" s="10" t="s">
        <v>6028</v>
      </c>
      <c r="E6233" s="10" t="str">
        <f>"644020240516124945183312"</f>
        <v>644020240516124945183312</v>
      </c>
      <c r="F6233" s="9"/>
    </row>
    <row r="6234" s="2" customFormat="1" ht="30" customHeight="1" spans="1:6">
      <c r="A6234" s="9">
        <v>6231</v>
      </c>
      <c r="B6234" s="10" t="s">
        <v>4840</v>
      </c>
      <c r="C6234" s="10" t="s">
        <v>4841</v>
      </c>
      <c r="D6234" s="10" t="s">
        <v>6029</v>
      </c>
      <c r="E6234" s="10" t="str">
        <f>"644020240516125655183326"</f>
        <v>644020240516125655183326</v>
      </c>
      <c r="F6234" s="9"/>
    </row>
    <row r="6235" s="2" customFormat="1" ht="30" customHeight="1" spans="1:6">
      <c r="A6235" s="9">
        <v>6232</v>
      </c>
      <c r="B6235" s="10" t="s">
        <v>4840</v>
      </c>
      <c r="C6235" s="10" t="s">
        <v>4841</v>
      </c>
      <c r="D6235" s="10" t="s">
        <v>6030</v>
      </c>
      <c r="E6235" s="10" t="str">
        <f>"644020240516130609183342"</f>
        <v>644020240516130609183342</v>
      </c>
      <c r="F6235" s="9"/>
    </row>
    <row r="6236" s="2" customFormat="1" ht="30" customHeight="1" spans="1:6">
      <c r="A6236" s="9">
        <v>6233</v>
      </c>
      <c r="B6236" s="10" t="s">
        <v>4840</v>
      </c>
      <c r="C6236" s="10" t="s">
        <v>4841</v>
      </c>
      <c r="D6236" s="10" t="s">
        <v>6031</v>
      </c>
      <c r="E6236" s="10" t="str">
        <f>"644020240516122501183274"</f>
        <v>644020240516122501183274</v>
      </c>
      <c r="F6236" s="9"/>
    </row>
    <row r="6237" s="2" customFormat="1" ht="30" customHeight="1" spans="1:6">
      <c r="A6237" s="9">
        <v>6234</v>
      </c>
      <c r="B6237" s="10" t="s">
        <v>4840</v>
      </c>
      <c r="C6237" s="10" t="s">
        <v>4841</v>
      </c>
      <c r="D6237" s="10" t="s">
        <v>6032</v>
      </c>
      <c r="E6237" s="10" t="str">
        <f>"644020240516125514183323"</f>
        <v>644020240516125514183323</v>
      </c>
      <c r="F6237" s="9"/>
    </row>
    <row r="6238" s="2" customFormat="1" ht="30" customHeight="1" spans="1:6">
      <c r="A6238" s="9">
        <v>6235</v>
      </c>
      <c r="B6238" s="10" t="s">
        <v>4840</v>
      </c>
      <c r="C6238" s="10" t="s">
        <v>4841</v>
      </c>
      <c r="D6238" s="10" t="s">
        <v>127</v>
      </c>
      <c r="E6238" s="10" t="str">
        <f>"644020240516124410183302"</f>
        <v>644020240516124410183302</v>
      </c>
      <c r="F6238" s="9"/>
    </row>
    <row r="6239" s="2" customFormat="1" ht="30" customHeight="1" spans="1:6">
      <c r="A6239" s="9">
        <v>6236</v>
      </c>
      <c r="B6239" s="10" t="s">
        <v>4840</v>
      </c>
      <c r="C6239" s="10" t="s">
        <v>4841</v>
      </c>
      <c r="D6239" s="10" t="s">
        <v>1007</v>
      </c>
      <c r="E6239" s="10" t="str">
        <f>"644020240513104500173552"</f>
        <v>644020240513104500173552</v>
      </c>
      <c r="F6239" s="9"/>
    </row>
    <row r="6240" s="2" customFormat="1" ht="30" customHeight="1" spans="1:6">
      <c r="A6240" s="9">
        <v>6237</v>
      </c>
      <c r="B6240" s="10" t="s">
        <v>4840</v>
      </c>
      <c r="C6240" s="10" t="s">
        <v>4841</v>
      </c>
      <c r="D6240" s="10" t="s">
        <v>6033</v>
      </c>
      <c r="E6240" s="10" t="str">
        <f>"644020240516131739183357"</f>
        <v>644020240516131739183357</v>
      </c>
      <c r="F6240" s="9"/>
    </row>
    <row r="6241" s="2" customFormat="1" ht="30" customHeight="1" spans="1:6">
      <c r="A6241" s="9">
        <v>6238</v>
      </c>
      <c r="B6241" s="10" t="s">
        <v>4840</v>
      </c>
      <c r="C6241" s="10" t="s">
        <v>4841</v>
      </c>
      <c r="D6241" s="10" t="s">
        <v>6034</v>
      </c>
      <c r="E6241" s="10" t="str">
        <f>"644020240515225233182483"</f>
        <v>644020240515225233182483</v>
      </c>
      <c r="F6241" s="9"/>
    </row>
    <row r="6242" s="2" customFormat="1" ht="30" customHeight="1" spans="1:6">
      <c r="A6242" s="9">
        <v>6239</v>
      </c>
      <c r="B6242" s="10" t="s">
        <v>4840</v>
      </c>
      <c r="C6242" s="10" t="s">
        <v>4841</v>
      </c>
      <c r="D6242" s="10" t="s">
        <v>6035</v>
      </c>
      <c r="E6242" s="10" t="str">
        <f>"644020240516125719183328"</f>
        <v>644020240516125719183328</v>
      </c>
      <c r="F6242" s="9"/>
    </row>
    <row r="6243" s="2" customFormat="1" ht="30" customHeight="1" spans="1:6">
      <c r="A6243" s="9">
        <v>6240</v>
      </c>
      <c r="B6243" s="10" t="s">
        <v>4840</v>
      </c>
      <c r="C6243" s="10" t="s">
        <v>4841</v>
      </c>
      <c r="D6243" s="10" t="s">
        <v>6036</v>
      </c>
      <c r="E6243" s="10" t="str">
        <f>"644020240516025016182701"</f>
        <v>644020240516025016182701</v>
      </c>
      <c r="F6243" s="9"/>
    </row>
    <row r="6244" s="2" customFormat="1" ht="30" customHeight="1" spans="1:6">
      <c r="A6244" s="9">
        <v>6241</v>
      </c>
      <c r="B6244" s="10" t="s">
        <v>4840</v>
      </c>
      <c r="C6244" s="10" t="s">
        <v>4841</v>
      </c>
      <c r="D6244" s="10" t="s">
        <v>6037</v>
      </c>
      <c r="E6244" s="10" t="str">
        <f>"644020240516131741183358"</f>
        <v>644020240516131741183358</v>
      </c>
      <c r="F6244" s="9"/>
    </row>
    <row r="6245" s="2" customFormat="1" ht="30" customHeight="1" spans="1:6">
      <c r="A6245" s="9">
        <v>6242</v>
      </c>
      <c r="B6245" s="10" t="s">
        <v>4840</v>
      </c>
      <c r="C6245" s="10" t="s">
        <v>4841</v>
      </c>
      <c r="D6245" s="10" t="s">
        <v>6038</v>
      </c>
      <c r="E6245" s="10" t="str">
        <f>"644020240515134557181495"</f>
        <v>644020240515134557181495</v>
      </c>
      <c r="F6245" s="9"/>
    </row>
    <row r="6246" s="2" customFormat="1" ht="30" customHeight="1" spans="1:6">
      <c r="A6246" s="9">
        <v>6243</v>
      </c>
      <c r="B6246" s="10" t="s">
        <v>4840</v>
      </c>
      <c r="C6246" s="10" t="s">
        <v>4841</v>
      </c>
      <c r="D6246" s="10" t="s">
        <v>6039</v>
      </c>
      <c r="E6246" s="10" t="str">
        <f>"644020240513191409176560"</f>
        <v>644020240513191409176560</v>
      </c>
      <c r="F6246" s="9"/>
    </row>
    <row r="6247" s="2" customFormat="1" ht="30" customHeight="1" spans="1:6">
      <c r="A6247" s="9">
        <v>6244</v>
      </c>
      <c r="B6247" s="10" t="s">
        <v>4840</v>
      </c>
      <c r="C6247" s="10" t="s">
        <v>4841</v>
      </c>
      <c r="D6247" s="10" t="s">
        <v>6040</v>
      </c>
      <c r="E6247" s="10" t="str">
        <f>"644020240516134504183388"</f>
        <v>644020240516134504183388</v>
      </c>
      <c r="F6247" s="9"/>
    </row>
    <row r="6248" s="2" customFormat="1" ht="30" customHeight="1" spans="1:6">
      <c r="A6248" s="9">
        <v>6245</v>
      </c>
      <c r="B6248" s="10" t="s">
        <v>4840</v>
      </c>
      <c r="C6248" s="10" t="s">
        <v>4841</v>
      </c>
      <c r="D6248" s="10" t="s">
        <v>6041</v>
      </c>
      <c r="E6248" s="10" t="str">
        <f>"644020240513203130176833"</f>
        <v>644020240513203130176833</v>
      </c>
      <c r="F6248" s="9"/>
    </row>
    <row r="6249" s="2" customFormat="1" ht="30" customHeight="1" spans="1:6">
      <c r="A6249" s="9">
        <v>6246</v>
      </c>
      <c r="B6249" s="10" t="s">
        <v>4840</v>
      </c>
      <c r="C6249" s="10" t="s">
        <v>4841</v>
      </c>
      <c r="D6249" s="10" t="s">
        <v>6042</v>
      </c>
      <c r="E6249" s="10" t="str">
        <f>"644020240516134616183392"</f>
        <v>644020240516134616183392</v>
      </c>
      <c r="F6249" s="9"/>
    </row>
    <row r="6250" s="2" customFormat="1" ht="30" customHeight="1" spans="1:6">
      <c r="A6250" s="9">
        <v>6247</v>
      </c>
      <c r="B6250" s="10" t="s">
        <v>4840</v>
      </c>
      <c r="C6250" s="10" t="s">
        <v>4841</v>
      </c>
      <c r="D6250" s="10" t="s">
        <v>6043</v>
      </c>
      <c r="E6250" s="10" t="str">
        <f>"644020240515200824182227"</f>
        <v>644020240515200824182227</v>
      </c>
      <c r="F6250" s="9"/>
    </row>
    <row r="6251" s="2" customFormat="1" ht="30" customHeight="1" spans="1:6">
      <c r="A6251" s="9">
        <v>6248</v>
      </c>
      <c r="B6251" s="10" t="s">
        <v>4840</v>
      </c>
      <c r="C6251" s="10" t="s">
        <v>4841</v>
      </c>
      <c r="D6251" s="10" t="s">
        <v>6044</v>
      </c>
      <c r="E6251" s="10" t="str">
        <f>"644020240515144007181575"</f>
        <v>644020240515144007181575</v>
      </c>
      <c r="F6251" s="9"/>
    </row>
    <row r="6252" s="2" customFormat="1" ht="30" customHeight="1" spans="1:6">
      <c r="A6252" s="9">
        <v>6249</v>
      </c>
      <c r="B6252" s="10" t="s">
        <v>4840</v>
      </c>
      <c r="C6252" s="10" t="s">
        <v>4841</v>
      </c>
      <c r="D6252" s="10" t="s">
        <v>6045</v>
      </c>
      <c r="E6252" s="10" t="str">
        <f>"644020240516115036183209"</f>
        <v>644020240516115036183209</v>
      </c>
      <c r="F6252" s="9"/>
    </row>
    <row r="6253" s="2" customFormat="1" ht="30" customHeight="1" spans="1:6">
      <c r="A6253" s="9">
        <v>6250</v>
      </c>
      <c r="B6253" s="10" t="s">
        <v>4840</v>
      </c>
      <c r="C6253" s="10" t="s">
        <v>4841</v>
      </c>
      <c r="D6253" s="10" t="s">
        <v>6046</v>
      </c>
      <c r="E6253" s="10" t="str">
        <f>"644020240515105058181115"</f>
        <v>644020240515105058181115</v>
      </c>
      <c r="F6253" s="9"/>
    </row>
    <row r="6254" s="2" customFormat="1" ht="30" customHeight="1" spans="1:6">
      <c r="A6254" s="9">
        <v>6251</v>
      </c>
      <c r="B6254" s="10" t="s">
        <v>4840</v>
      </c>
      <c r="C6254" s="10" t="s">
        <v>4841</v>
      </c>
      <c r="D6254" s="10" t="s">
        <v>6047</v>
      </c>
      <c r="E6254" s="10" t="str">
        <f>"644020240516105954183103"</f>
        <v>644020240516105954183103</v>
      </c>
      <c r="F6254" s="9"/>
    </row>
    <row r="6255" s="2" customFormat="1" ht="30" customHeight="1" spans="1:6">
      <c r="A6255" s="9">
        <v>6252</v>
      </c>
      <c r="B6255" s="10" t="s">
        <v>4840</v>
      </c>
      <c r="C6255" s="10" t="s">
        <v>4841</v>
      </c>
      <c r="D6255" s="10" t="s">
        <v>2084</v>
      </c>
      <c r="E6255" s="10" t="str">
        <f>"644020240513155442175737"</f>
        <v>644020240513155442175737</v>
      </c>
      <c r="F6255" s="9"/>
    </row>
    <row r="6256" s="2" customFormat="1" ht="30" customHeight="1" spans="1:6">
      <c r="A6256" s="9">
        <v>6253</v>
      </c>
      <c r="B6256" s="10" t="s">
        <v>4840</v>
      </c>
      <c r="C6256" s="10" t="s">
        <v>4841</v>
      </c>
      <c r="D6256" s="10" t="s">
        <v>6048</v>
      </c>
      <c r="E6256" s="10" t="str">
        <f>"644020240514162434179481"</f>
        <v>644020240514162434179481</v>
      </c>
      <c r="F6256" s="9"/>
    </row>
    <row r="6257" s="2" customFormat="1" ht="30" customHeight="1" spans="1:6">
      <c r="A6257" s="9">
        <v>6254</v>
      </c>
      <c r="B6257" s="10" t="s">
        <v>4840</v>
      </c>
      <c r="C6257" s="10" t="s">
        <v>4841</v>
      </c>
      <c r="D6257" s="10" t="s">
        <v>6049</v>
      </c>
      <c r="E6257" s="10" t="str">
        <f>"644020240516143239183435"</f>
        <v>644020240516143239183435</v>
      </c>
      <c r="F6257" s="9"/>
    </row>
    <row r="6258" s="2" customFormat="1" ht="30" customHeight="1" spans="1:6">
      <c r="A6258" s="9">
        <v>6255</v>
      </c>
      <c r="B6258" s="10" t="s">
        <v>4840</v>
      </c>
      <c r="C6258" s="10" t="s">
        <v>4841</v>
      </c>
      <c r="D6258" s="10" t="s">
        <v>6050</v>
      </c>
      <c r="E6258" s="10" t="str">
        <f>"644020240515161025181808"</f>
        <v>644020240515161025181808</v>
      </c>
      <c r="F6258" s="9"/>
    </row>
    <row r="6259" s="2" customFormat="1" ht="30" customHeight="1" spans="1:6">
      <c r="A6259" s="9">
        <v>6256</v>
      </c>
      <c r="B6259" s="10" t="s">
        <v>4840</v>
      </c>
      <c r="C6259" s="10" t="s">
        <v>4841</v>
      </c>
      <c r="D6259" s="10" t="s">
        <v>6051</v>
      </c>
      <c r="E6259" s="10" t="str">
        <f>"644020240515192554182169"</f>
        <v>644020240515192554182169</v>
      </c>
      <c r="F6259" s="9"/>
    </row>
    <row r="6260" s="2" customFormat="1" ht="30" customHeight="1" spans="1:6">
      <c r="A6260" s="9">
        <v>6257</v>
      </c>
      <c r="B6260" s="10" t="s">
        <v>4840</v>
      </c>
      <c r="C6260" s="10" t="s">
        <v>4841</v>
      </c>
      <c r="D6260" s="10" t="s">
        <v>6052</v>
      </c>
      <c r="E6260" s="10" t="str">
        <f>"644020240516140842183411"</f>
        <v>644020240516140842183411</v>
      </c>
      <c r="F6260" s="9"/>
    </row>
    <row r="6261" s="2" customFormat="1" ht="30" customHeight="1" spans="1:6">
      <c r="A6261" s="9">
        <v>6258</v>
      </c>
      <c r="B6261" s="10" t="s">
        <v>4840</v>
      </c>
      <c r="C6261" s="10" t="s">
        <v>4841</v>
      </c>
      <c r="D6261" s="10" t="s">
        <v>6053</v>
      </c>
      <c r="E6261" s="10" t="str">
        <f>"644020240514204148180046"</f>
        <v>644020240514204148180046</v>
      </c>
      <c r="F6261" s="9"/>
    </row>
    <row r="6262" s="2" customFormat="1" ht="30" customHeight="1" spans="1:6">
      <c r="A6262" s="9">
        <v>6259</v>
      </c>
      <c r="B6262" s="10" t="s">
        <v>4840</v>
      </c>
      <c r="C6262" s="10" t="s">
        <v>4841</v>
      </c>
      <c r="D6262" s="10" t="s">
        <v>6054</v>
      </c>
      <c r="E6262" s="10" t="str">
        <f>"644020240516144437183453"</f>
        <v>644020240516144437183453</v>
      </c>
      <c r="F6262" s="9"/>
    </row>
    <row r="6263" s="2" customFormat="1" ht="30" customHeight="1" spans="1:6">
      <c r="A6263" s="9">
        <v>6260</v>
      </c>
      <c r="B6263" s="10" t="s">
        <v>4840</v>
      </c>
      <c r="C6263" s="10" t="s">
        <v>4841</v>
      </c>
      <c r="D6263" s="10" t="s">
        <v>6055</v>
      </c>
      <c r="E6263" s="10" t="str">
        <f>"644020240516120036183227"</f>
        <v>644020240516120036183227</v>
      </c>
      <c r="F6263" s="9"/>
    </row>
    <row r="6264" s="2" customFormat="1" ht="30" customHeight="1" spans="1:6">
      <c r="A6264" s="9">
        <v>6261</v>
      </c>
      <c r="B6264" s="10" t="s">
        <v>4840</v>
      </c>
      <c r="C6264" s="10" t="s">
        <v>4841</v>
      </c>
      <c r="D6264" s="10" t="s">
        <v>6056</v>
      </c>
      <c r="E6264" s="10" t="str">
        <f>"644020240513163915175989"</f>
        <v>644020240513163915175989</v>
      </c>
      <c r="F6264" s="9"/>
    </row>
    <row r="6265" s="2" customFormat="1" ht="30" customHeight="1" spans="1:6">
      <c r="A6265" s="9">
        <v>6262</v>
      </c>
      <c r="B6265" s="10" t="s">
        <v>4840</v>
      </c>
      <c r="C6265" s="10" t="s">
        <v>4841</v>
      </c>
      <c r="D6265" s="10" t="s">
        <v>6057</v>
      </c>
      <c r="E6265" s="10" t="str">
        <f>"644020240513170314176105"</f>
        <v>644020240513170314176105</v>
      </c>
      <c r="F6265" s="9"/>
    </row>
    <row r="6266" s="2" customFormat="1" ht="30" customHeight="1" spans="1:6">
      <c r="A6266" s="9">
        <v>6263</v>
      </c>
      <c r="B6266" s="10" t="s">
        <v>4840</v>
      </c>
      <c r="C6266" s="10" t="s">
        <v>4841</v>
      </c>
      <c r="D6266" s="10" t="s">
        <v>6058</v>
      </c>
      <c r="E6266" s="10" t="str">
        <f>"644020240515145615181610"</f>
        <v>644020240515145615181610</v>
      </c>
      <c r="F6266" s="9"/>
    </row>
    <row r="6267" s="2" customFormat="1" ht="30" customHeight="1" spans="1:6">
      <c r="A6267" s="9">
        <v>6264</v>
      </c>
      <c r="B6267" s="10" t="s">
        <v>4840</v>
      </c>
      <c r="C6267" s="10" t="s">
        <v>4841</v>
      </c>
      <c r="D6267" s="10" t="s">
        <v>6059</v>
      </c>
      <c r="E6267" s="10" t="str">
        <f>"644020240516150121183485"</f>
        <v>644020240516150121183485</v>
      </c>
      <c r="F6267" s="9"/>
    </row>
    <row r="6268" s="2" customFormat="1" ht="30" customHeight="1" spans="1:6">
      <c r="A6268" s="9">
        <v>6265</v>
      </c>
      <c r="B6268" s="10" t="s">
        <v>4840</v>
      </c>
      <c r="C6268" s="10" t="s">
        <v>4841</v>
      </c>
      <c r="D6268" s="10" t="s">
        <v>6060</v>
      </c>
      <c r="E6268" s="10" t="str">
        <f>"644020240513204134176886"</f>
        <v>644020240513204134176886</v>
      </c>
      <c r="F6268" s="9"/>
    </row>
    <row r="6269" s="2" customFormat="1" ht="30" customHeight="1" spans="1:6">
      <c r="A6269" s="9">
        <v>6266</v>
      </c>
      <c r="B6269" s="10" t="s">
        <v>4840</v>
      </c>
      <c r="C6269" s="10" t="s">
        <v>4841</v>
      </c>
      <c r="D6269" s="10" t="s">
        <v>6061</v>
      </c>
      <c r="E6269" s="10" t="str">
        <f>"644020240516150156183488"</f>
        <v>644020240516150156183488</v>
      </c>
      <c r="F6269" s="9"/>
    </row>
    <row r="6270" s="2" customFormat="1" ht="30" customHeight="1" spans="1:6">
      <c r="A6270" s="9">
        <v>6267</v>
      </c>
      <c r="B6270" s="10" t="s">
        <v>4840</v>
      </c>
      <c r="C6270" s="10" t="s">
        <v>4841</v>
      </c>
      <c r="D6270" s="10" t="s">
        <v>6062</v>
      </c>
      <c r="E6270" s="10" t="str">
        <f>"644020240515192051182156"</f>
        <v>644020240515192051182156</v>
      </c>
      <c r="F6270" s="9"/>
    </row>
    <row r="6271" s="2" customFormat="1" ht="30" customHeight="1" spans="1:6">
      <c r="A6271" s="9">
        <v>6268</v>
      </c>
      <c r="B6271" s="10" t="s">
        <v>4840</v>
      </c>
      <c r="C6271" s="10" t="s">
        <v>4841</v>
      </c>
      <c r="D6271" s="10" t="s">
        <v>6063</v>
      </c>
      <c r="E6271" s="10" t="str">
        <f>"644020240516112248183161"</f>
        <v>644020240516112248183161</v>
      </c>
      <c r="F6271" s="9"/>
    </row>
    <row r="6272" s="2" customFormat="1" ht="30" customHeight="1" spans="1:6">
      <c r="A6272" s="9">
        <v>6269</v>
      </c>
      <c r="B6272" s="10" t="s">
        <v>4840</v>
      </c>
      <c r="C6272" s="10" t="s">
        <v>4841</v>
      </c>
      <c r="D6272" s="10" t="s">
        <v>1543</v>
      </c>
      <c r="E6272" s="10" t="str">
        <f>"644020240516113241183178"</f>
        <v>644020240516113241183178</v>
      </c>
      <c r="F6272" s="9"/>
    </row>
    <row r="6273" s="2" customFormat="1" ht="30" customHeight="1" spans="1:6">
      <c r="A6273" s="9">
        <v>6270</v>
      </c>
      <c r="B6273" s="10" t="s">
        <v>4840</v>
      </c>
      <c r="C6273" s="10" t="s">
        <v>4841</v>
      </c>
      <c r="D6273" s="10" t="s">
        <v>6064</v>
      </c>
      <c r="E6273" s="10" t="str">
        <f>"644020240516153229183553"</f>
        <v>644020240516153229183553</v>
      </c>
      <c r="F6273" s="9"/>
    </row>
    <row r="6274" s="2" customFormat="1" ht="30" customHeight="1" spans="1:6">
      <c r="A6274" s="9">
        <v>6271</v>
      </c>
      <c r="B6274" s="10" t="s">
        <v>4840</v>
      </c>
      <c r="C6274" s="10" t="s">
        <v>4841</v>
      </c>
      <c r="D6274" s="10" t="s">
        <v>6065</v>
      </c>
      <c r="E6274" s="10" t="str">
        <f>"644020240516152655183546"</f>
        <v>644020240516152655183546</v>
      </c>
      <c r="F6274" s="9"/>
    </row>
    <row r="6275" s="2" customFormat="1" ht="30" customHeight="1" spans="1:6">
      <c r="A6275" s="9">
        <v>6272</v>
      </c>
      <c r="B6275" s="10" t="s">
        <v>4840</v>
      </c>
      <c r="C6275" s="10" t="s">
        <v>4841</v>
      </c>
      <c r="D6275" s="10" t="s">
        <v>6066</v>
      </c>
      <c r="E6275" s="10" t="str">
        <f>"644020240516153655183558"</f>
        <v>644020240516153655183558</v>
      </c>
      <c r="F6275" s="9"/>
    </row>
    <row r="6276" s="2" customFormat="1" ht="30" customHeight="1" spans="1:6">
      <c r="A6276" s="9">
        <v>6273</v>
      </c>
      <c r="B6276" s="10" t="s">
        <v>4840</v>
      </c>
      <c r="C6276" s="10" t="s">
        <v>4841</v>
      </c>
      <c r="D6276" s="10" t="s">
        <v>6067</v>
      </c>
      <c r="E6276" s="10" t="str">
        <f>"644020240516150102183483"</f>
        <v>644020240516150102183483</v>
      </c>
      <c r="F6276" s="9"/>
    </row>
    <row r="6277" s="2" customFormat="1" ht="30" customHeight="1" spans="1:6">
      <c r="A6277" s="9">
        <v>6274</v>
      </c>
      <c r="B6277" s="10" t="s">
        <v>4840</v>
      </c>
      <c r="C6277" s="10" t="s">
        <v>4841</v>
      </c>
      <c r="D6277" s="10" t="s">
        <v>6068</v>
      </c>
      <c r="E6277" s="10" t="str">
        <f>"644020240515183939182103"</f>
        <v>644020240515183939182103</v>
      </c>
      <c r="F6277" s="9"/>
    </row>
    <row r="6278" s="2" customFormat="1" ht="30" customHeight="1" spans="1:6">
      <c r="A6278" s="9">
        <v>6275</v>
      </c>
      <c r="B6278" s="10" t="s">
        <v>4840</v>
      </c>
      <c r="C6278" s="10" t="s">
        <v>4841</v>
      </c>
      <c r="D6278" s="10" t="s">
        <v>6069</v>
      </c>
      <c r="E6278" s="10" t="str">
        <f>"644020240516154522183578"</f>
        <v>644020240516154522183578</v>
      </c>
      <c r="F6278" s="9"/>
    </row>
    <row r="6279" s="2" customFormat="1" ht="30" customHeight="1" spans="1:6">
      <c r="A6279" s="9">
        <v>6276</v>
      </c>
      <c r="B6279" s="10" t="s">
        <v>4840</v>
      </c>
      <c r="C6279" s="10" t="s">
        <v>4841</v>
      </c>
      <c r="D6279" s="10" t="s">
        <v>6070</v>
      </c>
      <c r="E6279" s="10" t="str">
        <f>"644020240516140720183407"</f>
        <v>644020240516140720183407</v>
      </c>
      <c r="F6279" s="9"/>
    </row>
    <row r="6280" s="2" customFormat="1" ht="30" customHeight="1" spans="1:6">
      <c r="A6280" s="9">
        <v>6277</v>
      </c>
      <c r="B6280" s="10" t="s">
        <v>4840</v>
      </c>
      <c r="C6280" s="10" t="s">
        <v>4841</v>
      </c>
      <c r="D6280" s="10" t="s">
        <v>6071</v>
      </c>
      <c r="E6280" s="10" t="str">
        <f>"644020240515175559182051"</f>
        <v>644020240515175559182051</v>
      </c>
      <c r="F6280" s="9"/>
    </row>
    <row r="6281" s="2" customFormat="1" ht="30" customHeight="1" spans="1:6">
      <c r="A6281" s="9">
        <v>6278</v>
      </c>
      <c r="B6281" s="10" t="s">
        <v>4840</v>
      </c>
      <c r="C6281" s="10" t="s">
        <v>4841</v>
      </c>
      <c r="D6281" s="10" t="s">
        <v>6072</v>
      </c>
      <c r="E6281" s="10" t="str">
        <f>"644020240516155700183606"</f>
        <v>644020240516155700183606</v>
      </c>
      <c r="F6281" s="9"/>
    </row>
    <row r="6282" s="2" customFormat="1" ht="30" customHeight="1" spans="1:6">
      <c r="A6282" s="9">
        <v>6279</v>
      </c>
      <c r="B6282" s="10" t="s">
        <v>4840</v>
      </c>
      <c r="C6282" s="10" t="s">
        <v>4841</v>
      </c>
      <c r="D6282" s="10" t="s">
        <v>6073</v>
      </c>
      <c r="E6282" s="10" t="str">
        <f>"644020240515175515182049"</f>
        <v>644020240515175515182049</v>
      </c>
      <c r="F6282" s="9"/>
    </row>
    <row r="6283" s="2" customFormat="1" ht="30" customHeight="1" spans="1:6">
      <c r="A6283" s="9">
        <v>6280</v>
      </c>
      <c r="B6283" s="10" t="s">
        <v>4840</v>
      </c>
      <c r="C6283" s="10" t="s">
        <v>4841</v>
      </c>
      <c r="D6283" s="10" t="s">
        <v>6074</v>
      </c>
      <c r="E6283" s="10" t="str">
        <f>"644020240516155518183598"</f>
        <v>644020240516155518183598</v>
      </c>
      <c r="F6283" s="9"/>
    </row>
    <row r="6284" s="2" customFormat="1" ht="30" customHeight="1" spans="1:6">
      <c r="A6284" s="9">
        <v>6281</v>
      </c>
      <c r="B6284" s="10" t="s">
        <v>4840</v>
      </c>
      <c r="C6284" s="10" t="s">
        <v>4841</v>
      </c>
      <c r="D6284" s="10" t="s">
        <v>6075</v>
      </c>
      <c r="E6284" s="10" t="str">
        <f>"644020240514112001178675"</f>
        <v>644020240514112001178675</v>
      </c>
      <c r="F6284" s="9"/>
    </row>
    <row r="6285" s="2" customFormat="1" ht="30" customHeight="1" spans="1:6">
      <c r="A6285" s="9">
        <v>6282</v>
      </c>
      <c r="B6285" s="10" t="s">
        <v>4840</v>
      </c>
      <c r="C6285" s="10" t="s">
        <v>4841</v>
      </c>
      <c r="D6285" s="10" t="s">
        <v>6076</v>
      </c>
      <c r="E6285" s="10" t="str">
        <f>"644020240513163418175962"</f>
        <v>644020240513163418175962</v>
      </c>
      <c r="F6285" s="9"/>
    </row>
    <row r="6286" s="2" customFormat="1" ht="30" customHeight="1" spans="1:6">
      <c r="A6286" s="9">
        <v>6283</v>
      </c>
      <c r="B6286" s="10" t="s">
        <v>4840</v>
      </c>
      <c r="C6286" s="10" t="s">
        <v>4841</v>
      </c>
      <c r="D6286" s="10" t="s">
        <v>6077</v>
      </c>
      <c r="E6286" s="10" t="str">
        <f>"644020240516155613183602"</f>
        <v>644020240516155613183602</v>
      </c>
      <c r="F6286" s="9"/>
    </row>
    <row r="6287" s="2" customFormat="1" ht="30" customHeight="1" spans="1:6">
      <c r="A6287" s="9">
        <v>6284</v>
      </c>
      <c r="B6287" s="10" t="s">
        <v>4840</v>
      </c>
      <c r="C6287" s="10" t="s">
        <v>4841</v>
      </c>
      <c r="D6287" s="10" t="s">
        <v>4119</v>
      </c>
      <c r="E6287" s="10" t="str">
        <f>"644020240516104828183071"</f>
        <v>644020240516104828183071</v>
      </c>
      <c r="F6287" s="9"/>
    </row>
    <row r="6288" s="2" customFormat="1" ht="30" customHeight="1" spans="1:6">
      <c r="A6288" s="9">
        <v>6285</v>
      </c>
      <c r="B6288" s="10" t="s">
        <v>4840</v>
      </c>
      <c r="C6288" s="10" t="s">
        <v>4841</v>
      </c>
      <c r="D6288" s="10" t="s">
        <v>6078</v>
      </c>
      <c r="E6288" s="10" t="str">
        <f>"644020240516111508183145"</f>
        <v>644020240516111508183145</v>
      </c>
      <c r="F6288" s="9"/>
    </row>
    <row r="6289" s="2" customFormat="1" ht="30" customHeight="1" spans="1:6">
      <c r="A6289" s="9">
        <v>6286</v>
      </c>
      <c r="B6289" s="10" t="s">
        <v>4840</v>
      </c>
      <c r="C6289" s="10" t="s">
        <v>4841</v>
      </c>
      <c r="D6289" s="10" t="s">
        <v>6079</v>
      </c>
      <c r="E6289" s="10" t="str">
        <f>"644020240516160639183631"</f>
        <v>644020240516160639183631</v>
      </c>
      <c r="F6289" s="9"/>
    </row>
    <row r="6290" s="2" customFormat="1" ht="30" customHeight="1" spans="1:6">
      <c r="A6290" s="9">
        <v>6287</v>
      </c>
      <c r="B6290" s="10" t="s">
        <v>4840</v>
      </c>
      <c r="C6290" s="10" t="s">
        <v>4841</v>
      </c>
      <c r="D6290" s="10" t="s">
        <v>6080</v>
      </c>
      <c r="E6290" s="10" t="str">
        <f>"644020240516122031183262"</f>
        <v>644020240516122031183262</v>
      </c>
      <c r="F6290" s="9"/>
    </row>
    <row r="6291" s="2" customFormat="1" ht="30" customHeight="1" spans="1:6">
      <c r="A6291" s="9">
        <v>6288</v>
      </c>
      <c r="B6291" s="10" t="s">
        <v>4840</v>
      </c>
      <c r="C6291" s="10" t="s">
        <v>4841</v>
      </c>
      <c r="D6291" s="10" t="s">
        <v>6081</v>
      </c>
      <c r="E6291" s="10" t="str">
        <f>"644020240516150548183495"</f>
        <v>644020240516150548183495</v>
      </c>
      <c r="F6291" s="9"/>
    </row>
    <row r="6292" s="2" customFormat="1" ht="30" customHeight="1" spans="1:6">
      <c r="A6292" s="9">
        <v>6289</v>
      </c>
      <c r="B6292" s="10" t="s">
        <v>4840</v>
      </c>
      <c r="C6292" s="10" t="s">
        <v>4841</v>
      </c>
      <c r="D6292" s="10" t="s">
        <v>6082</v>
      </c>
      <c r="E6292" s="10" t="str">
        <f>"644020240515224228182460"</f>
        <v>644020240515224228182460</v>
      </c>
      <c r="F6292" s="9"/>
    </row>
    <row r="6293" s="2" customFormat="1" ht="30" customHeight="1" spans="1:6">
      <c r="A6293" s="9">
        <v>6290</v>
      </c>
      <c r="B6293" s="10" t="s">
        <v>4840</v>
      </c>
      <c r="C6293" s="10" t="s">
        <v>4841</v>
      </c>
      <c r="D6293" s="10" t="s">
        <v>6083</v>
      </c>
      <c r="E6293" s="10" t="str">
        <f>"644020240516162322183672"</f>
        <v>644020240516162322183672</v>
      </c>
      <c r="F6293" s="9"/>
    </row>
    <row r="6294" s="2" customFormat="1" ht="30" customHeight="1" spans="1:6">
      <c r="A6294" s="9">
        <v>6291</v>
      </c>
      <c r="B6294" s="10" t="s">
        <v>4840</v>
      </c>
      <c r="C6294" s="10" t="s">
        <v>4841</v>
      </c>
      <c r="D6294" s="10" t="s">
        <v>6084</v>
      </c>
      <c r="E6294" s="10" t="str">
        <f>"644020240516054035182709"</f>
        <v>644020240516054035182709</v>
      </c>
      <c r="F6294" s="9"/>
    </row>
    <row r="6295" s="2" customFormat="1" ht="30" customHeight="1" spans="1:6">
      <c r="A6295" s="9">
        <v>6292</v>
      </c>
      <c r="B6295" s="10" t="s">
        <v>4840</v>
      </c>
      <c r="C6295" s="10" t="s">
        <v>4841</v>
      </c>
      <c r="D6295" s="10" t="s">
        <v>6085</v>
      </c>
      <c r="E6295" s="10" t="str">
        <f>"644020240516163613183704"</f>
        <v>644020240516163613183704</v>
      </c>
      <c r="F6295" s="9"/>
    </row>
    <row r="6296" s="2" customFormat="1" ht="30" customHeight="1" spans="1:6">
      <c r="A6296" s="9">
        <v>6293</v>
      </c>
      <c r="B6296" s="10" t="s">
        <v>4840</v>
      </c>
      <c r="C6296" s="10" t="s">
        <v>4841</v>
      </c>
      <c r="D6296" s="10" t="s">
        <v>6086</v>
      </c>
      <c r="E6296" s="10" t="str">
        <f>"644020240516090401182814"</f>
        <v>644020240516090401182814</v>
      </c>
      <c r="F6296" s="9"/>
    </row>
    <row r="6297" s="2" customFormat="1" ht="30" customHeight="1" spans="1:6">
      <c r="A6297" s="9">
        <v>6294</v>
      </c>
      <c r="B6297" s="10" t="s">
        <v>4840</v>
      </c>
      <c r="C6297" s="10" t="s">
        <v>4841</v>
      </c>
      <c r="D6297" s="10" t="s">
        <v>2511</v>
      </c>
      <c r="E6297" s="10" t="str">
        <f>"644020240514172133179686"</f>
        <v>644020240514172133179686</v>
      </c>
      <c r="F6297" s="9"/>
    </row>
    <row r="6298" s="2" customFormat="1" ht="30" customHeight="1" spans="1:6">
      <c r="A6298" s="9">
        <v>6295</v>
      </c>
      <c r="B6298" s="10" t="s">
        <v>4840</v>
      </c>
      <c r="C6298" s="10" t="s">
        <v>4841</v>
      </c>
      <c r="D6298" s="10" t="s">
        <v>6087</v>
      </c>
      <c r="E6298" s="10" t="str">
        <f>"644020240516162841183694"</f>
        <v>644020240516162841183694</v>
      </c>
      <c r="F6298" s="9"/>
    </row>
    <row r="6299" s="2" customFormat="1" ht="30" customHeight="1" spans="1:6">
      <c r="A6299" s="9">
        <v>6296</v>
      </c>
      <c r="B6299" s="10" t="s">
        <v>4840</v>
      </c>
      <c r="C6299" s="10" t="s">
        <v>4841</v>
      </c>
      <c r="D6299" s="10" t="s">
        <v>6088</v>
      </c>
      <c r="E6299" s="10" t="str">
        <f>"644020240516154551183579"</f>
        <v>644020240516154551183579</v>
      </c>
      <c r="F6299" s="9"/>
    </row>
    <row r="6300" s="2" customFormat="1" ht="30" customHeight="1" spans="1:6">
      <c r="A6300" s="9">
        <v>6297</v>
      </c>
      <c r="B6300" s="10" t="s">
        <v>4840</v>
      </c>
      <c r="C6300" s="10" t="s">
        <v>4841</v>
      </c>
      <c r="D6300" s="10" t="s">
        <v>6089</v>
      </c>
      <c r="E6300" s="10" t="str">
        <f>"644020240516162313183671"</f>
        <v>644020240516162313183671</v>
      </c>
      <c r="F6300" s="9"/>
    </row>
    <row r="6301" s="2" customFormat="1" ht="30" customHeight="1" spans="1:6">
      <c r="A6301" s="9">
        <v>6298</v>
      </c>
      <c r="B6301" s="10" t="s">
        <v>4840</v>
      </c>
      <c r="C6301" s="10" t="s">
        <v>4841</v>
      </c>
      <c r="D6301" s="10" t="s">
        <v>6090</v>
      </c>
      <c r="E6301" s="10" t="str">
        <f>"644020240516164836183733"</f>
        <v>644020240516164836183733</v>
      </c>
      <c r="F6301" s="9"/>
    </row>
    <row r="6302" s="2" customFormat="1" ht="30" customHeight="1" spans="1:6">
      <c r="A6302" s="9">
        <v>6299</v>
      </c>
      <c r="B6302" s="10" t="s">
        <v>4840</v>
      </c>
      <c r="C6302" s="10" t="s">
        <v>4841</v>
      </c>
      <c r="D6302" s="10" t="s">
        <v>6091</v>
      </c>
      <c r="E6302" s="10" t="str">
        <f>"644020240516165044183739"</f>
        <v>644020240516165044183739</v>
      </c>
      <c r="F6302" s="9"/>
    </row>
    <row r="6303" s="2" customFormat="1" ht="30" customHeight="1" spans="1:6">
      <c r="A6303" s="9">
        <v>6300</v>
      </c>
      <c r="B6303" s="10" t="s">
        <v>4840</v>
      </c>
      <c r="C6303" s="10" t="s">
        <v>4841</v>
      </c>
      <c r="D6303" s="10" t="s">
        <v>6092</v>
      </c>
      <c r="E6303" s="10" t="str">
        <f>"644020240516164447183722"</f>
        <v>644020240516164447183722</v>
      </c>
      <c r="F6303" s="9"/>
    </row>
    <row r="6304" s="2" customFormat="1" ht="30" customHeight="1" spans="1:6">
      <c r="A6304" s="9">
        <v>6301</v>
      </c>
      <c r="B6304" s="10" t="s">
        <v>4840</v>
      </c>
      <c r="C6304" s="10" t="s">
        <v>4841</v>
      </c>
      <c r="D6304" s="10" t="s">
        <v>6093</v>
      </c>
      <c r="E6304" s="10" t="str">
        <f>"644020240514212709180197"</f>
        <v>644020240514212709180197</v>
      </c>
      <c r="F6304" s="9"/>
    </row>
    <row r="6305" s="2" customFormat="1" ht="30" customHeight="1" spans="1:6">
      <c r="A6305" s="9">
        <v>6302</v>
      </c>
      <c r="B6305" s="10" t="s">
        <v>4840</v>
      </c>
      <c r="C6305" s="10" t="s">
        <v>4841</v>
      </c>
      <c r="D6305" s="10" t="s">
        <v>6094</v>
      </c>
      <c r="E6305" s="10" t="str">
        <f>"644020240516165605183762"</f>
        <v>644020240516165605183762</v>
      </c>
      <c r="F6305" s="9"/>
    </row>
    <row r="6306" s="2" customFormat="1" ht="30" customHeight="1" spans="1:6">
      <c r="A6306" s="9">
        <v>6303</v>
      </c>
      <c r="B6306" s="10" t="s">
        <v>4840</v>
      </c>
      <c r="C6306" s="10" t="s">
        <v>4841</v>
      </c>
      <c r="D6306" s="10" t="s">
        <v>6095</v>
      </c>
      <c r="E6306" s="10" t="str">
        <f>"644020240516154938183590"</f>
        <v>644020240516154938183590</v>
      </c>
      <c r="F6306" s="9"/>
    </row>
    <row r="6307" s="2" customFormat="1" ht="30" customHeight="1" spans="1:6">
      <c r="A6307" s="9">
        <v>6304</v>
      </c>
      <c r="B6307" s="10" t="s">
        <v>4840</v>
      </c>
      <c r="C6307" s="10" t="s">
        <v>4841</v>
      </c>
      <c r="D6307" s="10" t="s">
        <v>6096</v>
      </c>
      <c r="E6307" s="10" t="str">
        <f>"644020240515094138180888"</f>
        <v>644020240515094138180888</v>
      </c>
      <c r="F6307" s="9"/>
    </row>
    <row r="6308" s="2" customFormat="1" ht="30" customHeight="1" spans="1:6">
      <c r="A6308" s="9">
        <v>6305</v>
      </c>
      <c r="B6308" s="10" t="s">
        <v>4840</v>
      </c>
      <c r="C6308" s="10" t="s">
        <v>4841</v>
      </c>
      <c r="D6308" s="10" t="s">
        <v>188</v>
      </c>
      <c r="E6308" s="10" t="str">
        <f>"644020240516165149183744"</f>
        <v>644020240516165149183744</v>
      </c>
      <c r="F6308" s="9"/>
    </row>
    <row r="6309" s="2" customFormat="1" ht="30" customHeight="1" spans="1:6">
      <c r="A6309" s="9">
        <v>6306</v>
      </c>
      <c r="B6309" s="10" t="s">
        <v>4840</v>
      </c>
      <c r="C6309" s="10" t="s">
        <v>4841</v>
      </c>
      <c r="D6309" s="10" t="s">
        <v>6097</v>
      </c>
      <c r="E6309" s="10" t="str">
        <f>"644020240516135124183396"</f>
        <v>644020240516135124183396</v>
      </c>
      <c r="F6309" s="9"/>
    </row>
    <row r="6310" s="2" customFormat="1" ht="30" customHeight="1" spans="1:6">
      <c r="A6310" s="9">
        <v>6307</v>
      </c>
      <c r="B6310" s="10" t="s">
        <v>4840</v>
      </c>
      <c r="C6310" s="10" t="s">
        <v>4841</v>
      </c>
      <c r="D6310" s="10" t="s">
        <v>6098</v>
      </c>
      <c r="E6310" s="10" t="str">
        <f>"644020240515195212182205"</f>
        <v>644020240515195212182205</v>
      </c>
      <c r="F6310" s="9"/>
    </row>
    <row r="6311" s="2" customFormat="1" ht="30" customHeight="1" spans="1:6">
      <c r="A6311" s="9">
        <v>6308</v>
      </c>
      <c r="B6311" s="10" t="s">
        <v>4840</v>
      </c>
      <c r="C6311" s="10" t="s">
        <v>4841</v>
      </c>
      <c r="D6311" s="10" t="s">
        <v>6099</v>
      </c>
      <c r="E6311" s="10" t="str">
        <f>"644020240516001416182649"</f>
        <v>644020240516001416182649</v>
      </c>
      <c r="F6311" s="9"/>
    </row>
    <row r="6312" s="2" customFormat="1" ht="30" customHeight="1" spans="1:6">
      <c r="A6312" s="9">
        <v>6309</v>
      </c>
      <c r="B6312" s="10" t="s">
        <v>4840</v>
      </c>
      <c r="C6312" s="10" t="s">
        <v>4841</v>
      </c>
      <c r="D6312" s="10" t="s">
        <v>6100</v>
      </c>
      <c r="E6312" s="10" t="str">
        <f>"644020240516171529183804"</f>
        <v>644020240516171529183804</v>
      </c>
      <c r="F6312" s="9"/>
    </row>
    <row r="6313" s="2" customFormat="1" ht="30" customHeight="1" spans="1:6">
      <c r="A6313" s="9">
        <v>6310</v>
      </c>
      <c r="B6313" s="10" t="s">
        <v>4840</v>
      </c>
      <c r="C6313" s="10" t="s">
        <v>4841</v>
      </c>
      <c r="D6313" s="10" t="s">
        <v>1600</v>
      </c>
      <c r="E6313" s="10" t="str">
        <f>"644020240516092845182872"</f>
        <v>644020240516092845182872</v>
      </c>
      <c r="F6313" s="9"/>
    </row>
    <row r="6314" s="2" customFormat="1" ht="30" customHeight="1" spans="1:6">
      <c r="A6314" s="9">
        <v>6311</v>
      </c>
      <c r="B6314" s="10" t="s">
        <v>4840</v>
      </c>
      <c r="C6314" s="10" t="s">
        <v>4841</v>
      </c>
      <c r="D6314" s="10" t="s">
        <v>6101</v>
      </c>
      <c r="E6314" s="10" t="str">
        <f>"644020240516171257183798"</f>
        <v>644020240516171257183798</v>
      </c>
      <c r="F6314" s="9"/>
    </row>
    <row r="6315" s="2" customFormat="1" ht="30" customHeight="1" spans="1:6">
      <c r="A6315" s="9">
        <v>6312</v>
      </c>
      <c r="B6315" s="10" t="s">
        <v>4840</v>
      </c>
      <c r="C6315" s="10" t="s">
        <v>4841</v>
      </c>
      <c r="D6315" s="10" t="s">
        <v>6102</v>
      </c>
      <c r="E6315" s="10" t="str">
        <f>"644020240515220744182358"</f>
        <v>644020240515220744182358</v>
      </c>
      <c r="F6315" s="9"/>
    </row>
    <row r="6316" s="2" customFormat="1" ht="30" customHeight="1" spans="1:6">
      <c r="A6316" s="9">
        <v>6313</v>
      </c>
      <c r="B6316" s="10" t="s">
        <v>4840</v>
      </c>
      <c r="C6316" s="10" t="s">
        <v>4841</v>
      </c>
      <c r="D6316" s="10" t="s">
        <v>2708</v>
      </c>
      <c r="E6316" s="10" t="str">
        <f>"644020240516171631183809"</f>
        <v>644020240516171631183809</v>
      </c>
      <c r="F6316" s="9"/>
    </row>
    <row r="6317" s="2" customFormat="1" ht="30" customHeight="1" spans="1:6">
      <c r="A6317" s="9">
        <v>6314</v>
      </c>
      <c r="B6317" s="10" t="s">
        <v>4840</v>
      </c>
      <c r="C6317" s="10" t="s">
        <v>4841</v>
      </c>
      <c r="D6317" s="10" t="s">
        <v>6103</v>
      </c>
      <c r="E6317" s="10" t="str">
        <f>"644020240516171231183797"</f>
        <v>644020240516171231183797</v>
      </c>
      <c r="F6317" s="9"/>
    </row>
    <row r="6318" s="2" customFormat="1" ht="30" customHeight="1" spans="1:6">
      <c r="A6318" s="9">
        <v>6315</v>
      </c>
      <c r="B6318" s="10" t="s">
        <v>4840</v>
      </c>
      <c r="C6318" s="10" t="s">
        <v>4841</v>
      </c>
      <c r="D6318" s="10" t="s">
        <v>6104</v>
      </c>
      <c r="E6318" s="10" t="str">
        <f>"644020240516171556183806"</f>
        <v>644020240516171556183806</v>
      </c>
      <c r="F6318" s="9"/>
    </row>
    <row r="6319" s="2" customFormat="1" ht="30" customHeight="1" spans="1:6">
      <c r="A6319" s="9">
        <v>6316</v>
      </c>
      <c r="B6319" s="10" t="s">
        <v>4840</v>
      </c>
      <c r="C6319" s="10" t="s">
        <v>4841</v>
      </c>
      <c r="D6319" s="10" t="s">
        <v>6105</v>
      </c>
      <c r="E6319" s="10" t="str">
        <f>"644020240515220204182325"</f>
        <v>644020240515220204182325</v>
      </c>
      <c r="F6319" s="9"/>
    </row>
    <row r="6320" s="2" customFormat="1" ht="30" customHeight="1" spans="1:6">
      <c r="A6320" s="9">
        <v>6317</v>
      </c>
      <c r="B6320" s="10" t="s">
        <v>4840</v>
      </c>
      <c r="C6320" s="10" t="s">
        <v>4841</v>
      </c>
      <c r="D6320" s="10" t="s">
        <v>6106</v>
      </c>
      <c r="E6320" s="10" t="str">
        <f>"644020240516173458183839"</f>
        <v>644020240516173458183839</v>
      </c>
      <c r="F6320" s="9"/>
    </row>
    <row r="6321" s="2" customFormat="1" ht="30" customHeight="1" spans="1:6">
      <c r="A6321" s="9">
        <v>6318</v>
      </c>
      <c r="B6321" s="10" t="s">
        <v>4840</v>
      </c>
      <c r="C6321" s="10" t="s">
        <v>4841</v>
      </c>
      <c r="D6321" s="10" t="s">
        <v>6107</v>
      </c>
      <c r="E6321" s="10" t="str">
        <f>"644020240516163716183707"</f>
        <v>644020240516163716183707</v>
      </c>
      <c r="F6321" s="9"/>
    </row>
    <row r="6322" s="2" customFormat="1" ht="30" customHeight="1" spans="1:6">
      <c r="A6322" s="9">
        <v>6319</v>
      </c>
      <c r="B6322" s="10" t="s">
        <v>4840</v>
      </c>
      <c r="C6322" s="10" t="s">
        <v>4841</v>
      </c>
      <c r="D6322" s="10" t="s">
        <v>6108</v>
      </c>
      <c r="E6322" s="10" t="str">
        <f>"644020240516174003183853"</f>
        <v>644020240516174003183853</v>
      </c>
      <c r="F6322" s="9"/>
    </row>
    <row r="6323" s="2" customFormat="1" ht="30" customHeight="1" spans="1:6">
      <c r="A6323" s="9">
        <v>6320</v>
      </c>
      <c r="B6323" s="10" t="s">
        <v>4840</v>
      </c>
      <c r="C6323" s="10" t="s">
        <v>4841</v>
      </c>
      <c r="D6323" s="10" t="s">
        <v>6109</v>
      </c>
      <c r="E6323" s="10" t="str">
        <f>"644020240516175213183868"</f>
        <v>644020240516175213183868</v>
      </c>
      <c r="F6323" s="9"/>
    </row>
    <row r="6324" s="2" customFormat="1" ht="30" customHeight="1" spans="1:6">
      <c r="A6324" s="9">
        <v>6321</v>
      </c>
      <c r="B6324" s="10" t="s">
        <v>4840</v>
      </c>
      <c r="C6324" s="10" t="s">
        <v>4841</v>
      </c>
      <c r="D6324" s="10" t="s">
        <v>6110</v>
      </c>
      <c r="E6324" s="10" t="str">
        <f>"644020240515154042181724"</f>
        <v>644020240515154042181724</v>
      </c>
      <c r="F6324" s="9"/>
    </row>
    <row r="6325" s="2" customFormat="1" ht="30" customHeight="1" spans="1:6">
      <c r="A6325" s="9">
        <v>6322</v>
      </c>
      <c r="B6325" s="10" t="s">
        <v>4840</v>
      </c>
      <c r="C6325" s="10" t="s">
        <v>4841</v>
      </c>
      <c r="D6325" s="10" t="s">
        <v>6111</v>
      </c>
      <c r="E6325" s="10" t="str">
        <f>"644020240516180210183885"</f>
        <v>644020240516180210183885</v>
      </c>
      <c r="F6325" s="9"/>
    </row>
    <row r="6326" s="2" customFormat="1" ht="30" customHeight="1" spans="1:6">
      <c r="A6326" s="9">
        <v>6323</v>
      </c>
      <c r="B6326" s="10" t="s">
        <v>4840</v>
      </c>
      <c r="C6326" s="10" t="s">
        <v>4841</v>
      </c>
      <c r="D6326" s="10" t="s">
        <v>6112</v>
      </c>
      <c r="E6326" s="10" t="str">
        <f>"644020240514215800180287"</f>
        <v>644020240514215800180287</v>
      </c>
      <c r="F6326" s="9"/>
    </row>
    <row r="6327" s="2" customFormat="1" ht="30" customHeight="1" spans="1:6">
      <c r="A6327" s="9">
        <v>6324</v>
      </c>
      <c r="B6327" s="10" t="s">
        <v>4840</v>
      </c>
      <c r="C6327" s="10" t="s">
        <v>4841</v>
      </c>
      <c r="D6327" s="10" t="s">
        <v>6113</v>
      </c>
      <c r="E6327" s="10" t="str">
        <f>"644020240516170016183769"</f>
        <v>644020240516170016183769</v>
      </c>
      <c r="F6327" s="9"/>
    </row>
    <row r="6328" s="2" customFormat="1" ht="30" customHeight="1" spans="1:6">
      <c r="A6328" s="9">
        <v>6325</v>
      </c>
      <c r="B6328" s="10" t="s">
        <v>4840</v>
      </c>
      <c r="C6328" s="10" t="s">
        <v>4841</v>
      </c>
      <c r="D6328" s="10" t="s">
        <v>2114</v>
      </c>
      <c r="E6328" s="10" t="str">
        <f>"644020240512211915171091"</f>
        <v>644020240512211915171091</v>
      </c>
      <c r="F6328" s="9"/>
    </row>
    <row r="6329" s="2" customFormat="1" ht="30" customHeight="1" spans="1:6">
      <c r="A6329" s="9">
        <v>6326</v>
      </c>
      <c r="B6329" s="10" t="s">
        <v>4840</v>
      </c>
      <c r="C6329" s="10" t="s">
        <v>4841</v>
      </c>
      <c r="D6329" s="10" t="s">
        <v>6114</v>
      </c>
      <c r="E6329" s="10" t="str">
        <f>"644020240516175534183870"</f>
        <v>644020240516175534183870</v>
      </c>
      <c r="F6329" s="9"/>
    </row>
    <row r="6330" s="2" customFormat="1" ht="30" customHeight="1" spans="1:6">
      <c r="A6330" s="9">
        <v>6327</v>
      </c>
      <c r="B6330" s="10" t="s">
        <v>4840</v>
      </c>
      <c r="C6330" s="10" t="s">
        <v>4841</v>
      </c>
      <c r="D6330" s="10" t="s">
        <v>6115</v>
      </c>
      <c r="E6330" s="10" t="str">
        <f>"644020240516181504183905"</f>
        <v>644020240516181504183905</v>
      </c>
      <c r="F6330" s="9"/>
    </row>
    <row r="6331" s="2" customFormat="1" ht="30" customHeight="1" spans="1:6">
      <c r="A6331" s="9">
        <v>6328</v>
      </c>
      <c r="B6331" s="10" t="s">
        <v>4840</v>
      </c>
      <c r="C6331" s="10" t="s">
        <v>4841</v>
      </c>
      <c r="D6331" s="10" t="s">
        <v>6116</v>
      </c>
      <c r="E6331" s="10" t="str">
        <f>"644020240513200312176733"</f>
        <v>644020240513200312176733</v>
      </c>
      <c r="F6331" s="9"/>
    </row>
    <row r="6332" s="2" customFormat="1" ht="30" customHeight="1" spans="1:6">
      <c r="A6332" s="9">
        <v>6329</v>
      </c>
      <c r="B6332" s="10" t="s">
        <v>4840</v>
      </c>
      <c r="C6332" s="10" t="s">
        <v>4841</v>
      </c>
      <c r="D6332" s="10" t="s">
        <v>6117</v>
      </c>
      <c r="E6332" s="10" t="str">
        <f>"644020240516182035183918"</f>
        <v>644020240516182035183918</v>
      </c>
      <c r="F6332" s="9"/>
    </row>
    <row r="6333" s="2" customFormat="1" ht="30" customHeight="1" spans="1:6">
      <c r="A6333" s="9">
        <v>6330</v>
      </c>
      <c r="B6333" s="10" t="s">
        <v>4840</v>
      </c>
      <c r="C6333" s="10" t="s">
        <v>4841</v>
      </c>
      <c r="D6333" s="10" t="s">
        <v>6118</v>
      </c>
      <c r="E6333" s="10" t="str">
        <f>"644020240516180030183883"</f>
        <v>644020240516180030183883</v>
      </c>
      <c r="F6333" s="9"/>
    </row>
    <row r="6334" s="2" customFormat="1" ht="30" customHeight="1" spans="1:6">
      <c r="A6334" s="9">
        <v>6331</v>
      </c>
      <c r="B6334" s="10" t="s">
        <v>4840</v>
      </c>
      <c r="C6334" s="10" t="s">
        <v>4841</v>
      </c>
      <c r="D6334" s="10" t="s">
        <v>6119</v>
      </c>
      <c r="E6334" s="10" t="str">
        <f>"644020240516183939183950"</f>
        <v>644020240516183939183950</v>
      </c>
      <c r="F6334" s="9"/>
    </row>
    <row r="6335" s="2" customFormat="1" ht="30" customHeight="1" spans="1:6">
      <c r="A6335" s="9">
        <v>6332</v>
      </c>
      <c r="B6335" s="10" t="s">
        <v>4840</v>
      </c>
      <c r="C6335" s="10" t="s">
        <v>4841</v>
      </c>
      <c r="D6335" s="10" t="s">
        <v>6120</v>
      </c>
      <c r="E6335" s="10" t="str">
        <f>"644020240516114416183195"</f>
        <v>644020240516114416183195</v>
      </c>
      <c r="F6335" s="9"/>
    </row>
    <row r="6336" s="2" customFormat="1" ht="30" customHeight="1" spans="1:6">
      <c r="A6336" s="9">
        <v>6333</v>
      </c>
      <c r="B6336" s="10" t="s">
        <v>4840</v>
      </c>
      <c r="C6336" s="10" t="s">
        <v>4841</v>
      </c>
      <c r="D6336" s="10" t="s">
        <v>6121</v>
      </c>
      <c r="E6336" s="10" t="str">
        <f>"644020240513212507177066"</f>
        <v>644020240513212507177066</v>
      </c>
      <c r="F6336" s="9"/>
    </row>
    <row r="6337" s="2" customFormat="1" ht="30" customHeight="1" spans="1:6">
      <c r="A6337" s="9">
        <v>6334</v>
      </c>
      <c r="B6337" s="10" t="s">
        <v>4840</v>
      </c>
      <c r="C6337" s="10" t="s">
        <v>4841</v>
      </c>
      <c r="D6337" s="10" t="s">
        <v>6122</v>
      </c>
      <c r="E6337" s="10" t="str">
        <f>"644020240516183857183948"</f>
        <v>644020240516183857183948</v>
      </c>
      <c r="F6337" s="9"/>
    </row>
    <row r="6338" s="2" customFormat="1" ht="30" customHeight="1" spans="1:6">
      <c r="A6338" s="9">
        <v>6335</v>
      </c>
      <c r="B6338" s="10" t="s">
        <v>4840</v>
      </c>
      <c r="C6338" s="10" t="s">
        <v>4841</v>
      </c>
      <c r="D6338" s="10" t="s">
        <v>6123</v>
      </c>
      <c r="E6338" s="10" t="str">
        <f>"644020240516182756183927"</f>
        <v>644020240516182756183927</v>
      </c>
      <c r="F6338" s="9"/>
    </row>
    <row r="6339" s="2" customFormat="1" ht="30" customHeight="1" spans="1:6">
      <c r="A6339" s="9">
        <v>6336</v>
      </c>
      <c r="B6339" s="10" t="s">
        <v>4840</v>
      </c>
      <c r="C6339" s="10" t="s">
        <v>4841</v>
      </c>
      <c r="D6339" s="10" t="s">
        <v>6124</v>
      </c>
      <c r="E6339" s="10" t="str">
        <f>"644020240516183751183945"</f>
        <v>644020240516183751183945</v>
      </c>
      <c r="F6339" s="9"/>
    </row>
    <row r="6340" s="2" customFormat="1" ht="30" customHeight="1" spans="1:6">
      <c r="A6340" s="9">
        <v>6337</v>
      </c>
      <c r="B6340" s="10" t="s">
        <v>4840</v>
      </c>
      <c r="C6340" s="10" t="s">
        <v>4841</v>
      </c>
      <c r="D6340" s="10" t="s">
        <v>6125</v>
      </c>
      <c r="E6340" s="10" t="str">
        <f>"644020240516154421183575"</f>
        <v>644020240516154421183575</v>
      </c>
      <c r="F6340" s="9"/>
    </row>
    <row r="6341" s="2" customFormat="1" ht="30" customHeight="1" spans="1:6">
      <c r="A6341" s="9">
        <v>6338</v>
      </c>
      <c r="B6341" s="10" t="s">
        <v>4840</v>
      </c>
      <c r="C6341" s="10" t="s">
        <v>4841</v>
      </c>
      <c r="D6341" s="10" t="s">
        <v>6126</v>
      </c>
      <c r="E6341" s="10" t="str">
        <f>"644020240514220532180311"</f>
        <v>644020240514220532180311</v>
      </c>
      <c r="F6341" s="9"/>
    </row>
    <row r="6342" s="2" customFormat="1" ht="30" customHeight="1" spans="1:6">
      <c r="A6342" s="9">
        <v>6339</v>
      </c>
      <c r="B6342" s="10" t="s">
        <v>4840</v>
      </c>
      <c r="C6342" s="10" t="s">
        <v>4841</v>
      </c>
      <c r="D6342" s="10" t="s">
        <v>6127</v>
      </c>
      <c r="E6342" s="10" t="str">
        <f>"644020240514152900179292"</f>
        <v>644020240514152900179292</v>
      </c>
      <c r="F6342" s="9"/>
    </row>
    <row r="6343" s="2" customFormat="1" ht="30" customHeight="1" spans="1:6">
      <c r="A6343" s="9">
        <v>6340</v>
      </c>
      <c r="B6343" s="10" t="s">
        <v>4840</v>
      </c>
      <c r="C6343" s="10" t="s">
        <v>4841</v>
      </c>
      <c r="D6343" s="10" t="s">
        <v>6128</v>
      </c>
      <c r="E6343" s="10" t="str">
        <f>"644020240516151609183517"</f>
        <v>644020240516151609183517</v>
      </c>
      <c r="F6343" s="9"/>
    </row>
    <row r="6344" s="2" customFormat="1" ht="30" customHeight="1" spans="1:6">
      <c r="A6344" s="9">
        <v>6341</v>
      </c>
      <c r="B6344" s="10" t="s">
        <v>4840</v>
      </c>
      <c r="C6344" s="10" t="s">
        <v>4841</v>
      </c>
      <c r="D6344" s="10" t="s">
        <v>6129</v>
      </c>
      <c r="E6344" s="10" t="str">
        <f>"644020240515081143180675"</f>
        <v>644020240515081143180675</v>
      </c>
      <c r="F6344" s="9"/>
    </row>
    <row r="6345" s="2" customFormat="1" ht="30" customHeight="1" spans="1:6">
      <c r="A6345" s="9">
        <v>6342</v>
      </c>
      <c r="B6345" s="10" t="s">
        <v>4840</v>
      </c>
      <c r="C6345" s="10" t="s">
        <v>4841</v>
      </c>
      <c r="D6345" s="10" t="s">
        <v>6130</v>
      </c>
      <c r="E6345" s="10" t="str">
        <f>"644020240516183434183941"</f>
        <v>644020240516183434183941</v>
      </c>
      <c r="F6345" s="9"/>
    </row>
    <row r="6346" s="2" customFormat="1" ht="30" customHeight="1" spans="1:6">
      <c r="A6346" s="9">
        <v>6343</v>
      </c>
      <c r="B6346" s="10" t="s">
        <v>4840</v>
      </c>
      <c r="C6346" s="10" t="s">
        <v>4841</v>
      </c>
      <c r="D6346" s="10" t="s">
        <v>4576</v>
      </c>
      <c r="E6346" s="10" t="str">
        <f>"644020240515144738181593"</f>
        <v>644020240515144738181593</v>
      </c>
      <c r="F6346" s="9"/>
    </row>
    <row r="6347" s="2" customFormat="1" ht="30" customHeight="1" spans="1:6">
      <c r="A6347" s="9">
        <v>6344</v>
      </c>
      <c r="B6347" s="10" t="s">
        <v>4840</v>
      </c>
      <c r="C6347" s="10" t="s">
        <v>4841</v>
      </c>
      <c r="D6347" s="10" t="s">
        <v>6131</v>
      </c>
      <c r="E6347" s="10" t="str">
        <f>"644020240515223318182431"</f>
        <v>644020240515223318182431</v>
      </c>
      <c r="F6347" s="9"/>
    </row>
    <row r="6348" s="2" customFormat="1" ht="30" customHeight="1" spans="1:6">
      <c r="A6348" s="9">
        <v>6345</v>
      </c>
      <c r="B6348" s="10" t="s">
        <v>4840</v>
      </c>
      <c r="C6348" s="10" t="s">
        <v>4841</v>
      </c>
      <c r="D6348" s="10" t="s">
        <v>6132</v>
      </c>
      <c r="E6348" s="10" t="str">
        <f>"644020240516185630183971"</f>
        <v>644020240516185630183971</v>
      </c>
      <c r="F6348" s="9"/>
    </row>
    <row r="6349" s="2" customFormat="1" ht="30" customHeight="1" spans="1:6">
      <c r="A6349" s="9">
        <v>6346</v>
      </c>
      <c r="B6349" s="10" t="s">
        <v>4840</v>
      </c>
      <c r="C6349" s="10" t="s">
        <v>4841</v>
      </c>
      <c r="D6349" s="10" t="s">
        <v>6133</v>
      </c>
      <c r="E6349" s="10" t="str">
        <f>"644020240516165552183760"</f>
        <v>644020240516165552183760</v>
      </c>
      <c r="F6349" s="9"/>
    </row>
    <row r="6350" s="2" customFormat="1" ht="30" customHeight="1" spans="1:6">
      <c r="A6350" s="9">
        <v>6347</v>
      </c>
      <c r="B6350" s="10" t="s">
        <v>4840</v>
      </c>
      <c r="C6350" s="10" t="s">
        <v>4841</v>
      </c>
      <c r="D6350" s="10" t="s">
        <v>6134</v>
      </c>
      <c r="E6350" s="10" t="str">
        <f>"644020240516185736183972"</f>
        <v>644020240516185736183972</v>
      </c>
      <c r="F6350" s="9"/>
    </row>
    <row r="6351" s="2" customFormat="1" ht="30" customHeight="1" spans="1:6">
      <c r="A6351" s="9">
        <v>6348</v>
      </c>
      <c r="B6351" s="10" t="s">
        <v>4840</v>
      </c>
      <c r="C6351" s="10" t="s">
        <v>4841</v>
      </c>
      <c r="D6351" s="10" t="s">
        <v>6135</v>
      </c>
      <c r="E6351" s="10" t="str">
        <f>"644020240516191027183991"</f>
        <v>644020240516191027183991</v>
      </c>
      <c r="F6351" s="9"/>
    </row>
    <row r="6352" s="2" customFormat="1" ht="30" customHeight="1" spans="1:6">
      <c r="A6352" s="9">
        <v>6349</v>
      </c>
      <c r="B6352" s="10" t="s">
        <v>4840</v>
      </c>
      <c r="C6352" s="10" t="s">
        <v>4841</v>
      </c>
      <c r="D6352" s="10" t="s">
        <v>6136</v>
      </c>
      <c r="E6352" s="10" t="str">
        <f>"644020240516144230183451"</f>
        <v>644020240516144230183451</v>
      </c>
      <c r="F6352" s="9"/>
    </row>
    <row r="6353" s="2" customFormat="1" ht="30" customHeight="1" spans="1:6">
      <c r="A6353" s="9">
        <v>6350</v>
      </c>
      <c r="B6353" s="10" t="s">
        <v>4840</v>
      </c>
      <c r="C6353" s="10" t="s">
        <v>4841</v>
      </c>
      <c r="D6353" s="10" t="s">
        <v>6137</v>
      </c>
      <c r="E6353" s="10" t="str">
        <f>"644020240516191909184002"</f>
        <v>644020240516191909184002</v>
      </c>
      <c r="F6353" s="9"/>
    </row>
    <row r="6354" s="2" customFormat="1" ht="30" customHeight="1" spans="1:6">
      <c r="A6354" s="9">
        <v>6351</v>
      </c>
      <c r="B6354" s="10" t="s">
        <v>4840</v>
      </c>
      <c r="C6354" s="10" t="s">
        <v>4841</v>
      </c>
      <c r="D6354" s="10" t="s">
        <v>6138</v>
      </c>
      <c r="E6354" s="10" t="str">
        <f>"644020240514154827179361"</f>
        <v>644020240514154827179361</v>
      </c>
      <c r="F6354" s="9"/>
    </row>
    <row r="6355" s="2" customFormat="1" ht="30" customHeight="1" spans="1:6">
      <c r="A6355" s="9">
        <v>6352</v>
      </c>
      <c r="B6355" s="10" t="s">
        <v>4840</v>
      </c>
      <c r="C6355" s="10" t="s">
        <v>4841</v>
      </c>
      <c r="D6355" s="10" t="s">
        <v>6139</v>
      </c>
      <c r="E6355" s="10" t="str">
        <f>"644020240516192257184007"</f>
        <v>644020240516192257184007</v>
      </c>
      <c r="F6355" s="9"/>
    </row>
    <row r="6356" s="2" customFormat="1" ht="30" customHeight="1" spans="1:6">
      <c r="A6356" s="9">
        <v>6353</v>
      </c>
      <c r="B6356" s="10" t="s">
        <v>4840</v>
      </c>
      <c r="C6356" s="10" t="s">
        <v>4841</v>
      </c>
      <c r="D6356" s="10" t="s">
        <v>6140</v>
      </c>
      <c r="E6356" s="10" t="str">
        <f>"644020240516190121183976"</f>
        <v>644020240516190121183976</v>
      </c>
      <c r="F6356" s="9"/>
    </row>
    <row r="6357" s="2" customFormat="1" ht="30" customHeight="1" spans="1:6">
      <c r="A6357" s="9">
        <v>6354</v>
      </c>
      <c r="B6357" s="10" t="s">
        <v>4840</v>
      </c>
      <c r="C6357" s="10" t="s">
        <v>4841</v>
      </c>
      <c r="D6357" s="10" t="s">
        <v>6141</v>
      </c>
      <c r="E6357" s="10" t="str">
        <f>"644020240516193438184023"</f>
        <v>644020240516193438184023</v>
      </c>
      <c r="F6357" s="9"/>
    </row>
    <row r="6358" s="2" customFormat="1" ht="30" customHeight="1" spans="1:6">
      <c r="A6358" s="9">
        <v>6355</v>
      </c>
      <c r="B6358" s="10" t="s">
        <v>4840</v>
      </c>
      <c r="C6358" s="10" t="s">
        <v>4841</v>
      </c>
      <c r="D6358" s="10" t="s">
        <v>6142</v>
      </c>
      <c r="E6358" s="10" t="str">
        <f>"644020240516091732182848"</f>
        <v>644020240516091732182848</v>
      </c>
      <c r="F6358" s="9"/>
    </row>
    <row r="6359" s="2" customFormat="1" ht="30" customHeight="1" spans="1:6">
      <c r="A6359" s="9">
        <v>6356</v>
      </c>
      <c r="B6359" s="10" t="s">
        <v>4840</v>
      </c>
      <c r="C6359" s="10" t="s">
        <v>4841</v>
      </c>
      <c r="D6359" s="10" t="s">
        <v>6143</v>
      </c>
      <c r="E6359" s="10" t="str">
        <f>"644020240516190633183982"</f>
        <v>644020240516190633183982</v>
      </c>
      <c r="F6359" s="9"/>
    </row>
    <row r="6360" s="2" customFormat="1" ht="30" customHeight="1" spans="1:6">
      <c r="A6360" s="9">
        <v>6357</v>
      </c>
      <c r="B6360" s="10" t="s">
        <v>4840</v>
      </c>
      <c r="C6360" s="10" t="s">
        <v>4841</v>
      </c>
      <c r="D6360" s="10" t="s">
        <v>6144</v>
      </c>
      <c r="E6360" s="10" t="str">
        <f>"644020240516190649183984"</f>
        <v>644020240516190649183984</v>
      </c>
      <c r="F6360" s="9"/>
    </row>
    <row r="6361" s="2" customFormat="1" ht="30" customHeight="1" spans="1:6">
      <c r="A6361" s="9">
        <v>6358</v>
      </c>
      <c r="B6361" s="10" t="s">
        <v>4840</v>
      </c>
      <c r="C6361" s="10" t="s">
        <v>4841</v>
      </c>
      <c r="D6361" s="10" t="s">
        <v>6145</v>
      </c>
      <c r="E6361" s="10" t="str">
        <f>"644020240515185655182132"</f>
        <v>644020240515185655182132</v>
      </c>
      <c r="F6361" s="9"/>
    </row>
    <row r="6362" s="2" customFormat="1" ht="30" customHeight="1" spans="1:6">
      <c r="A6362" s="9">
        <v>6359</v>
      </c>
      <c r="B6362" s="10" t="s">
        <v>4840</v>
      </c>
      <c r="C6362" s="10" t="s">
        <v>4841</v>
      </c>
      <c r="D6362" s="10" t="s">
        <v>6146</v>
      </c>
      <c r="E6362" s="10" t="str">
        <f>"644020240516072516182721"</f>
        <v>644020240516072516182721</v>
      </c>
      <c r="F6362" s="9"/>
    </row>
    <row r="6363" s="2" customFormat="1" ht="30" customHeight="1" spans="1:6">
      <c r="A6363" s="9">
        <v>6360</v>
      </c>
      <c r="B6363" s="10" t="s">
        <v>4840</v>
      </c>
      <c r="C6363" s="10" t="s">
        <v>4841</v>
      </c>
      <c r="D6363" s="10" t="s">
        <v>6147</v>
      </c>
      <c r="E6363" s="10" t="str">
        <f>"644020240516203455184072"</f>
        <v>644020240516203455184072</v>
      </c>
      <c r="F6363" s="9"/>
    </row>
    <row r="6364" s="2" customFormat="1" ht="30" customHeight="1" spans="1:6">
      <c r="A6364" s="9">
        <v>6361</v>
      </c>
      <c r="B6364" s="10" t="s">
        <v>4840</v>
      </c>
      <c r="C6364" s="10" t="s">
        <v>4841</v>
      </c>
      <c r="D6364" s="10" t="s">
        <v>6148</v>
      </c>
      <c r="E6364" s="10" t="str">
        <f>"644020240513205451176939"</f>
        <v>644020240513205451176939</v>
      </c>
      <c r="F6364" s="9"/>
    </row>
    <row r="6365" s="2" customFormat="1" ht="30" customHeight="1" spans="1:6">
      <c r="A6365" s="9">
        <v>6362</v>
      </c>
      <c r="B6365" s="10" t="s">
        <v>4840</v>
      </c>
      <c r="C6365" s="10" t="s">
        <v>4841</v>
      </c>
      <c r="D6365" s="10" t="s">
        <v>6149</v>
      </c>
      <c r="E6365" s="10" t="str">
        <f>"644020240515223657182445"</f>
        <v>644020240515223657182445</v>
      </c>
      <c r="F6365" s="9"/>
    </row>
    <row r="6366" s="2" customFormat="1" ht="30" customHeight="1" spans="1:6">
      <c r="A6366" s="9">
        <v>6363</v>
      </c>
      <c r="B6366" s="10" t="s">
        <v>4840</v>
      </c>
      <c r="C6366" s="10" t="s">
        <v>4841</v>
      </c>
      <c r="D6366" s="10" t="s">
        <v>6150</v>
      </c>
      <c r="E6366" s="10" t="str">
        <f>"644020240516202914184055"</f>
        <v>644020240516202914184055</v>
      </c>
      <c r="F6366" s="9"/>
    </row>
    <row r="6367" s="2" customFormat="1" ht="30" customHeight="1" spans="1:6">
      <c r="A6367" s="9">
        <v>6364</v>
      </c>
      <c r="B6367" s="10" t="s">
        <v>4840</v>
      </c>
      <c r="C6367" s="10" t="s">
        <v>4841</v>
      </c>
      <c r="D6367" s="10" t="s">
        <v>6151</v>
      </c>
      <c r="E6367" s="10" t="str">
        <f>"644020240516202756184052"</f>
        <v>644020240516202756184052</v>
      </c>
      <c r="F6367" s="9"/>
    </row>
    <row r="6368" s="2" customFormat="1" ht="30" customHeight="1" spans="1:6">
      <c r="A6368" s="9">
        <v>6365</v>
      </c>
      <c r="B6368" s="10" t="s">
        <v>4840</v>
      </c>
      <c r="C6368" s="10" t="s">
        <v>4841</v>
      </c>
      <c r="D6368" s="10" t="s">
        <v>6152</v>
      </c>
      <c r="E6368" s="10" t="str">
        <f>"644020240516203546184079"</f>
        <v>644020240516203546184079</v>
      </c>
      <c r="F6368" s="9"/>
    </row>
    <row r="6369" s="2" customFormat="1" ht="30" customHeight="1" spans="1:6">
      <c r="A6369" s="9">
        <v>6366</v>
      </c>
      <c r="B6369" s="10" t="s">
        <v>4840</v>
      </c>
      <c r="C6369" s="10" t="s">
        <v>4841</v>
      </c>
      <c r="D6369" s="10" t="s">
        <v>6153</v>
      </c>
      <c r="E6369" s="10" t="str">
        <f>"644020240516203321184069"</f>
        <v>644020240516203321184069</v>
      </c>
      <c r="F6369" s="9"/>
    </row>
    <row r="6370" s="2" customFormat="1" ht="30" customHeight="1" spans="1:6">
      <c r="A6370" s="9">
        <v>6367</v>
      </c>
      <c r="B6370" s="10" t="s">
        <v>4840</v>
      </c>
      <c r="C6370" s="10" t="s">
        <v>4841</v>
      </c>
      <c r="D6370" s="10" t="s">
        <v>6154</v>
      </c>
      <c r="E6370" s="10" t="str">
        <f>"644020240513112050173889"</f>
        <v>644020240513112050173889</v>
      </c>
      <c r="F6370" s="9"/>
    </row>
    <row r="6371" s="2" customFormat="1" ht="30" customHeight="1" spans="1:6">
      <c r="A6371" s="9">
        <v>6368</v>
      </c>
      <c r="B6371" s="10" t="s">
        <v>4840</v>
      </c>
      <c r="C6371" s="10" t="s">
        <v>4841</v>
      </c>
      <c r="D6371" s="10" t="s">
        <v>6155</v>
      </c>
      <c r="E6371" s="10" t="str">
        <f>"644020240513214740177161"</f>
        <v>644020240513214740177161</v>
      </c>
      <c r="F6371" s="9"/>
    </row>
    <row r="6372" s="2" customFormat="1" ht="30" customHeight="1" spans="1:6">
      <c r="A6372" s="9">
        <v>6369</v>
      </c>
      <c r="B6372" s="10" t="s">
        <v>4840</v>
      </c>
      <c r="C6372" s="10" t="s">
        <v>4841</v>
      </c>
      <c r="D6372" s="10" t="s">
        <v>455</v>
      </c>
      <c r="E6372" s="10" t="str">
        <f>"644020240516202816184053"</f>
        <v>644020240516202816184053</v>
      </c>
      <c r="F6372" s="9"/>
    </row>
    <row r="6373" s="2" customFormat="1" ht="30" customHeight="1" spans="1:6">
      <c r="A6373" s="9">
        <v>6370</v>
      </c>
      <c r="B6373" s="10" t="s">
        <v>4840</v>
      </c>
      <c r="C6373" s="10" t="s">
        <v>4841</v>
      </c>
      <c r="D6373" s="10" t="s">
        <v>6156</v>
      </c>
      <c r="E6373" s="10" t="str">
        <f>"644020240516173458183840"</f>
        <v>644020240516173458183840</v>
      </c>
      <c r="F6373" s="9"/>
    </row>
    <row r="6374" s="2" customFormat="1" ht="30" customHeight="1" spans="1:6">
      <c r="A6374" s="9">
        <v>6371</v>
      </c>
      <c r="B6374" s="10" t="s">
        <v>4840</v>
      </c>
      <c r="C6374" s="10" t="s">
        <v>4841</v>
      </c>
      <c r="D6374" s="10" t="s">
        <v>6157</v>
      </c>
      <c r="E6374" s="10" t="str">
        <f>"644020240514093859178152"</f>
        <v>644020240514093859178152</v>
      </c>
      <c r="F6374" s="9"/>
    </row>
    <row r="6375" s="2" customFormat="1" ht="30" customHeight="1" spans="1:6">
      <c r="A6375" s="9">
        <v>6372</v>
      </c>
      <c r="B6375" s="10" t="s">
        <v>4840</v>
      </c>
      <c r="C6375" s="10" t="s">
        <v>4841</v>
      </c>
      <c r="D6375" s="10" t="s">
        <v>6158</v>
      </c>
      <c r="E6375" s="10" t="str">
        <f>"644020240516133630183378"</f>
        <v>644020240516133630183378</v>
      </c>
      <c r="F6375" s="9"/>
    </row>
    <row r="6376" s="2" customFormat="1" ht="30" customHeight="1" spans="1:6">
      <c r="A6376" s="9">
        <v>6373</v>
      </c>
      <c r="B6376" s="10" t="s">
        <v>4840</v>
      </c>
      <c r="C6376" s="10" t="s">
        <v>4841</v>
      </c>
      <c r="D6376" s="10" t="s">
        <v>6159</v>
      </c>
      <c r="E6376" s="10" t="str">
        <f>"644020240516203119184063"</f>
        <v>644020240516203119184063</v>
      </c>
      <c r="F6376" s="9"/>
    </row>
    <row r="6377" s="2" customFormat="1" ht="30" customHeight="1" spans="1:6">
      <c r="A6377" s="9">
        <v>6374</v>
      </c>
      <c r="B6377" s="10" t="s">
        <v>4840</v>
      </c>
      <c r="C6377" s="10" t="s">
        <v>4841</v>
      </c>
      <c r="D6377" s="10" t="s">
        <v>6160</v>
      </c>
      <c r="E6377" s="10" t="str">
        <f>"644020240516203254184068"</f>
        <v>644020240516203254184068</v>
      </c>
      <c r="F6377" s="9"/>
    </row>
    <row r="6378" s="2" customFormat="1" ht="30" customHeight="1" spans="1:6">
      <c r="A6378" s="9">
        <v>6375</v>
      </c>
      <c r="B6378" s="10" t="s">
        <v>4840</v>
      </c>
      <c r="C6378" s="10" t="s">
        <v>4841</v>
      </c>
      <c r="D6378" s="10" t="s">
        <v>6161</v>
      </c>
      <c r="E6378" s="10" t="str">
        <f>"644020240516180928183895"</f>
        <v>644020240516180928183895</v>
      </c>
      <c r="F6378" s="9"/>
    </row>
    <row r="6379" s="2" customFormat="1" ht="30" customHeight="1" spans="1:6">
      <c r="A6379" s="9">
        <v>6376</v>
      </c>
      <c r="B6379" s="10" t="s">
        <v>4840</v>
      </c>
      <c r="C6379" s="10" t="s">
        <v>4841</v>
      </c>
      <c r="D6379" s="10" t="s">
        <v>6162</v>
      </c>
      <c r="E6379" s="10" t="str">
        <f>"644020240516123359183289"</f>
        <v>644020240516123359183289</v>
      </c>
      <c r="F6379" s="9"/>
    </row>
    <row r="6380" s="2" customFormat="1" ht="30" customHeight="1" spans="1:6">
      <c r="A6380" s="9">
        <v>6377</v>
      </c>
      <c r="B6380" s="10" t="s">
        <v>4840</v>
      </c>
      <c r="C6380" s="10" t="s">
        <v>4841</v>
      </c>
      <c r="D6380" s="10" t="s">
        <v>6163</v>
      </c>
      <c r="E6380" s="10" t="str">
        <f>"644020240516202719184046"</f>
        <v>644020240516202719184046</v>
      </c>
      <c r="F6380" s="9"/>
    </row>
    <row r="6381" s="2" customFormat="1" ht="30" customHeight="1" spans="1:6">
      <c r="A6381" s="9">
        <v>6378</v>
      </c>
      <c r="B6381" s="10" t="s">
        <v>4840</v>
      </c>
      <c r="C6381" s="10" t="s">
        <v>4841</v>
      </c>
      <c r="D6381" s="10" t="s">
        <v>6164</v>
      </c>
      <c r="E6381" s="10" t="str">
        <f>"644020240515184025182107"</f>
        <v>644020240515184025182107</v>
      </c>
      <c r="F6381" s="9"/>
    </row>
    <row r="6382" s="2" customFormat="1" ht="30" customHeight="1" spans="1:6">
      <c r="A6382" s="9">
        <v>6379</v>
      </c>
      <c r="B6382" s="10" t="s">
        <v>4840</v>
      </c>
      <c r="C6382" s="10" t="s">
        <v>4841</v>
      </c>
      <c r="D6382" s="10" t="s">
        <v>6165</v>
      </c>
      <c r="E6382" s="10" t="str">
        <f>"644020240515141426181533"</f>
        <v>644020240515141426181533</v>
      </c>
      <c r="F6382" s="9"/>
    </row>
    <row r="6383" s="2" customFormat="1" ht="30" customHeight="1" spans="1:6">
      <c r="A6383" s="9">
        <v>6380</v>
      </c>
      <c r="B6383" s="10" t="s">
        <v>4840</v>
      </c>
      <c r="C6383" s="10" t="s">
        <v>4841</v>
      </c>
      <c r="D6383" s="10" t="s">
        <v>6166</v>
      </c>
      <c r="E6383" s="10" t="str">
        <f>"644020240515112515181227"</f>
        <v>644020240515112515181227</v>
      </c>
      <c r="F6383" s="9"/>
    </row>
    <row r="6384" s="2" customFormat="1" ht="30" customHeight="1" spans="1:6">
      <c r="A6384" s="9">
        <v>6381</v>
      </c>
      <c r="B6384" s="10" t="s">
        <v>4840</v>
      </c>
      <c r="C6384" s="10" t="s">
        <v>4841</v>
      </c>
      <c r="D6384" s="10" t="s">
        <v>6167</v>
      </c>
      <c r="E6384" s="10" t="str">
        <f>"644020240516212539184121"</f>
        <v>644020240516212539184121</v>
      </c>
      <c r="F6384" s="9"/>
    </row>
    <row r="6385" s="2" customFormat="1" ht="30" customHeight="1" spans="1:6">
      <c r="A6385" s="9">
        <v>6382</v>
      </c>
      <c r="B6385" s="10" t="s">
        <v>4840</v>
      </c>
      <c r="C6385" s="10" t="s">
        <v>4841</v>
      </c>
      <c r="D6385" s="10" t="s">
        <v>6168</v>
      </c>
      <c r="E6385" s="10" t="str">
        <f>"644020240516151539183513"</f>
        <v>644020240516151539183513</v>
      </c>
      <c r="F6385" s="9"/>
    </row>
    <row r="6386" s="2" customFormat="1" ht="30" customHeight="1" spans="1:6">
      <c r="A6386" s="9">
        <v>6383</v>
      </c>
      <c r="B6386" s="10" t="s">
        <v>4840</v>
      </c>
      <c r="C6386" s="10" t="s">
        <v>4841</v>
      </c>
      <c r="D6386" s="10" t="s">
        <v>3666</v>
      </c>
      <c r="E6386" s="10" t="str">
        <f>"644020240516213514184155"</f>
        <v>644020240516213514184155</v>
      </c>
      <c r="F6386" s="9"/>
    </row>
    <row r="6387" s="2" customFormat="1" ht="30" customHeight="1" spans="1:6">
      <c r="A6387" s="9">
        <v>6384</v>
      </c>
      <c r="B6387" s="10" t="s">
        <v>4840</v>
      </c>
      <c r="C6387" s="10" t="s">
        <v>4841</v>
      </c>
      <c r="D6387" s="10" t="s">
        <v>6169</v>
      </c>
      <c r="E6387" s="10" t="str">
        <f>"644020240516213810184162"</f>
        <v>644020240516213810184162</v>
      </c>
      <c r="F6387" s="9"/>
    </row>
    <row r="6388" s="2" customFormat="1" ht="30" customHeight="1" spans="1:6">
      <c r="A6388" s="9">
        <v>6385</v>
      </c>
      <c r="B6388" s="10" t="s">
        <v>4840</v>
      </c>
      <c r="C6388" s="10" t="s">
        <v>4841</v>
      </c>
      <c r="D6388" s="10" t="s">
        <v>4234</v>
      </c>
      <c r="E6388" s="10" t="str">
        <f>"644020240515220351182343"</f>
        <v>644020240515220351182343</v>
      </c>
      <c r="F6388" s="9"/>
    </row>
    <row r="6389" s="2" customFormat="1" ht="30" customHeight="1" spans="1:6">
      <c r="A6389" s="9">
        <v>6386</v>
      </c>
      <c r="B6389" s="10" t="s">
        <v>4840</v>
      </c>
      <c r="C6389" s="10" t="s">
        <v>4841</v>
      </c>
      <c r="D6389" s="10" t="s">
        <v>6170</v>
      </c>
      <c r="E6389" s="10" t="str">
        <f>"644020240515202229182249"</f>
        <v>644020240515202229182249</v>
      </c>
      <c r="F6389" s="9"/>
    </row>
    <row r="6390" s="2" customFormat="1" ht="30" customHeight="1" spans="1:6">
      <c r="A6390" s="9">
        <v>6387</v>
      </c>
      <c r="B6390" s="10" t="s">
        <v>4840</v>
      </c>
      <c r="C6390" s="10" t="s">
        <v>4841</v>
      </c>
      <c r="D6390" s="10" t="s">
        <v>6171</v>
      </c>
      <c r="E6390" s="10" t="str">
        <f>"644020240516114454183197"</f>
        <v>644020240516114454183197</v>
      </c>
      <c r="F6390" s="9"/>
    </row>
    <row r="6391" s="2" customFormat="1" ht="30" customHeight="1" spans="1:6">
      <c r="A6391" s="9">
        <v>6388</v>
      </c>
      <c r="B6391" s="10" t="s">
        <v>4840</v>
      </c>
      <c r="C6391" s="10" t="s">
        <v>4841</v>
      </c>
      <c r="D6391" s="10" t="s">
        <v>6172</v>
      </c>
      <c r="E6391" s="10" t="str">
        <f>"644020240516151548183514"</f>
        <v>644020240516151548183514</v>
      </c>
      <c r="F6391" s="9"/>
    </row>
    <row r="6392" s="2" customFormat="1" ht="30" customHeight="1" spans="1:6">
      <c r="A6392" s="9">
        <v>6389</v>
      </c>
      <c r="B6392" s="10" t="s">
        <v>4840</v>
      </c>
      <c r="C6392" s="10" t="s">
        <v>4841</v>
      </c>
      <c r="D6392" s="10" t="s">
        <v>6173</v>
      </c>
      <c r="E6392" s="10" t="str">
        <f>"644020240516214437184177"</f>
        <v>644020240516214437184177</v>
      </c>
      <c r="F6392" s="9"/>
    </row>
    <row r="6393" s="2" customFormat="1" ht="30" customHeight="1" spans="1:6">
      <c r="A6393" s="9">
        <v>6390</v>
      </c>
      <c r="B6393" s="10" t="s">
        <v>4840</v>
      </c>
      <c r="C6393" s="10" t="s">
        <v>4841</v>
      </c>
      <c r="D6393" s="10" t="s">
        <v>6174</v>
      </c>
      <c r="E6393" s="10" t="str">
        <f>"644020240515220640182354"</f>
        <v>644020240515220640182354</v>
      </c>
      <c r="F6393" s="9"/>
    </row>
    <row r="6394" s="2" customFormat="1" ht="30" customHeight="1" spans="1:6">
      <c r="A6394" s="9">
        <v>6391</v>
      </c>
      <c r="B6394" s="10" t="s">
        <v>4840</v>
      </c>
      <c r="C6394" s="10" t="s">
        <v>4841</v>
      </c>
      <c r="D6394" s="10" t="s">
        <v>6175</v>
      </c>
      <c r="E6394" s="10" t="str">
        <f>"644020240516160955183640"</f>
        <v>644020240516160955183640</v>
      </c>
      <c r="F6394" s="9"/>
    </row>
    <row r="6395" s="2" customFormat="1" ht="30" customHeight="1" spans="1:6">
      <c r="A6395" s="9">
        <v>6392</v>
      </c>
      <c r="B6395" s="10" t="s">
        <v>4840</v>
      </c>
      <c r="C6395" s="10" t="s">
        <v>4841</v>
      </c>
      <c r="D6395" s="10" t="s">
        <v>6176</v>
      </c>
      <c r="E6395" s="10" t="str">
        <f>"644020240516213450184152"</f>
        <v>644020240516213450184152</v>
      </c>
      <c r="F6395" s="9"/>
    </row>
    <row r="6396" s="2" customFormat="1" ht="30" customHeight="1" spans="1:6">
      <c r="A6396" s="9">
        <v>6393</v>
      </c>
      <c r="B6396" s="10" t="s">
        <v>4840</v>
      </c>
      <c r="C6396" s="10" t="s">
        <v>4841</v>
      </c>
      <c r="D6396" s="10" t="s">
        <v>6177</v>
      </c>
      <c r="E6396" s="10" t="str">
        <f>"644020240516220102184229"</f>
        <v>644020240516220102184229</v>
      </c>
      <c r="F6396" s="9"/>
    </row>
    <row r="6397" s="2" customFormat="1" ht="30" customHeight="1" spans="1:6">
      <c r="A6397" s="9">
        <v>6394</v>
      </c>
      <c r="B6397" s="10" t="s">
        <v>4840</v>
      </c>
      <c r="C6397" s="10" t="s">
        <v>4841</v>
      </c>
      <c r="D6397" s="10" t="s">
        <v>6178</v>
      </c>
      <c r="E6397" s="10" t="str">
        <f>"644020240515130416181423"</f>
        <v>644020240515130416181423</v>
      </c>
      <c r="F6397" s="9"/>
    </row>
    <row r="6398" s="2" customFormat="1" ht="30" customHeight="1" spans="1:6">
      <c r="A6398" s="9">
        <v>6395</v>
      </c>
      <c r="B6398" s="10" t="s">
        <v>4840</v>
      </c>
      <c r="C6398" s="10" t="s">
        <v>4841</v>
      </c>
      <c r="D6398" s="10" t="s">
        <v>6179</v>
      </c>
      <c r="E6398" s="10" t="str">
        <f>"644020240516214236184171"</f>
        <v>644020240516214236184171</v>
      </c>
      <c r="F6398" s="9"/>
    </row>
    <row r="6399" s="2" customFormat="1" ht="30" customHeight="1" spans="1:6">
      <c r="A6399" s="9">
        <v>6396</v>
      </c>
      <c r="B6399" s="10" t="s">
        <v>4840</v>
      </c>
      <c r="C6399" s="10" t="s">
        <v>4841</v>
      </c>
      <c r="D6399" s="10" t="s">
        <v>6180</v>
      </c>
      <c r="E6399" s="10" t="str">
        <f>"644020240515182732182091"</f>
        <v>644020240515182732182091</v>
      </c>
      <c r="F6399" s="9"/>
    </row>
    <row r="6400" s="2" customFormat="1" ht="30" customHeight="1" spans="1:6">
      <c r="A6400" s="9">
        <v>6397</v>
      </c>
      <c r="B6400" s="10" t="s">
        <v>4840</v>
      </c>
      <c r="C6400" s="10" t="s">
        <v>4841</v>
      </c>
      <c r="D6400" s="10" t="s">
        <v>6181</v>
      </c>
      <c r="E6400" s="10" t="str">
        <f>"644020240516220522184236"</f>
        <v>644020240516220522184236</v>
      </c>
      <c r="F6400" s="9"/>
    </row>
    <row r="6401" s="2" customFormat="1" ht="30" customHeight="1" spans="1:6">
      <c r="A6401" s="9">
        <v>6398</v>
      </c>
      <c r="B6401" s="10" t="s">
        <v>4840</v>
      </c>
      <c r="C6401" s="10" t="s">
        <v>4841</v>
      </c>
      <c r="D6401" s="10" t="s">
        <v>6182</v>
      </c>
      <c r="E6401" s="10" t="str">
        <f>"644020240516220459184235"</f>
        <v>644020240516220459184235</v>
      </c>
      <c r="F6401" s="9"/>
    </row>
    <row r="6402" s="2" customFormat="1" ht="30" customHeight="1" spans="1:6">
      <c r="A6402" s="9">
        <v>6399</v>
      </c>
      <c r="B6402" s="10" t="s">
        <v>4840</v>
      </c>
      <c r="C6402" s="10" t="s">
        <v>4841</v>
      </c>
      <c r="D6402" s="10" t="s">
        <v>6183</v>
      </c>
      <c r="E6402" s="10" t="str">
        <f>"644020240516212545184122"</f>
        <v>644020240516212545184122</v>
      </c>
      <c r="F6402" s="9"/>
    </row>
    <row r="6403" s="2" customFormat="1" ht="30" customHeight="1" spans="1:6">
      <c r="A6403" s="9">
        <v>6400</v>
      </c>
      <c r="B6403" s="10" t="s">
        <v>4840</v>
      </c>
      <c r="C6403" s="10" t="s">
        <v>4841</v>
      </c>
      <c r="D6403" s="10" t="s">
        <v>6184</v>
      </c>
      <c r="E6403" s="10" t="str">
        <f>"644020240516125716183327"</f>
        <v>644020240516125716183327</v>
      </c>
      <c r="F6403" s="9"/>
    </row>
    <row r="6404" s="2" customFormat="1" ht="30" customHeight="1" spans="1:6">
      <c r="A6404" s="9">
        <v>6401</v>
      </c>
      <c r="B6404" s="10" t="s">
        <v>4840</v>
      </c>
      <c r="C6404" s="10" t="s">
        <v>4841</v>
      </c>
      <c r="D6404" s="10" t="s">
        <v>6185</v>
      </c>
      <c r="E6404" s="10" t="str">
        <f>"644020240515131516181445"</f>
        <v>644020240515131516181445</v>
      </c>
      <c r="F6404" s="9"/>
    </row>
    <row r="6405" s="2" customFormat="1" ht="30" customHeight="1" spans="1:6">
      <c r="A6405" s="9">
        <v>6402</v>
      </c>
      <c r="B6405" s="10" t="s">
        <v>4840</v>
      </c>
      <c r="C6405" s="10" t="s">
        <v>4841</v>
      </c>
      <c r="D6405" s="10" t="s">
        <v>6186</v>
      </c>
      <c r="E6405" s="10" t="str">
        <f>"644020240512212336171114"</f>
        <v>644020240512212336171114</v>
      </c>
      <c r="F6405" s="9"/>
    </row>
    <row r="6406" s="2" customFormat="1" ht="30" customHeight="1" spans="1:6">
      <c r="A6406" s="9">
        <v>6403</v>
      </c>
      <c r="B6406" s="10" t="s">
        <v>4840</v>
      </c>
      <c r="C6406" s="10" t="s">
        <v>4841</v>
      </c>
      <c r="D6406" s="10" t="s">
        <v>6187</v>
      </c>
      <c r="E6406" s="10" t="str">
        <f>"644020240516215642184208"</f>
        <v>644020240516215642184208</v>
      </c>
      <c r="F6406" s="9"/>
    </row>
    <row r="6407" s="2" customFormat="1" ht="30" customHeight="1" spans="1:6">
      <c r="A6407" s="9">
        <v>6404</v>
      </c>
      <c r="B6407" s="10" t="s">
        <v>4840</v>
      </c>
      <c r="C6407" s="10" t="s">
        <v>4841</v>
      </c>
      <c r="D6407" s="10" t="s">
        <v>6188</v>
      </c>
      <c r="E6407" s="10" t="str">
        <f>"644020240516185604183970"</f>
        <v>644020240516185604183970</v>
      </c>
      <c r="F6407" s="9"/>
    </row>
    <row r="6408" s="2" customFormat="1" ht="30" customHeight="1" spans="1:6">
      <c r="A6408" s="9">
        <v>6405</v>
      </c>
      <c r="B6408" s="10" t="s">
        <v>4840</v>
      </c>
      <c r="C6408" s="10" t="s">
        <v>4841</v>
      </c>
      <c r="D6408" s="10" t="s">
        <v>6189</v>
      </c>
      <c r="E6408" s="10" t="str">
        <f>"644020240515201003182231"</f>
        <v>644020240515201003182231</v>
      </c>
      <c r="F6408" s="9"/>
    </row>
    <row r="6409" s="2" customFormat="1" ht="30" customHeight="1" spans="1:6">
      <c r="A6409" s="9">
        <v>6406</v>
      </c>
      <c r="B6409" s="10" t="s">
        <v>4840</v>
      </c>
      <c r="C6409" s="10" t="s">
        <v>4841</v>
      </c>
      <c r="D6409" s="10" t="s">
        <v>6190</v>
      </c>
      <c r="E6409" s="10" t="str">
        <f>"644020240516221744184264"</f>
        <v>644020240516221744184264</v>
      </c>
      <c r="F6409" s="9"/>
    </row>
    <row r="6410" s="2" customFormat="1" ht="30" customHeight="1" spans="1:6">
      <c r="A6410" s="9">
        <v>6407</v>
      </c>
      <c r="B6410" s="10" t="s">
        <v>4840</v>
      </c>
      <c r="C6410" s="10" t="s">
        <v>4841</v>
      </c>
      <c r="D6410" s="10" t="s">
        <v>6191</v>
      </c>
      <c r="E6410" s="10" t="str">
        <f>"644020240516215047184190"</f>
        <v>644020240516215047184190</v>
      </c>
      <c r="F6410" s="9"/>
    </row>
    <row r="6411" s="2" customFormat="1" ht="30" customHeight="1" spans="1:6">
      <c r="A6411" s="9">
        <v>6408</v>
      </c>
      <c r="B6411" s="10" t="s">
        <v>4840</v>
      </c>
      <c r="C6411" s="10" t="s">
        <v>4841</v>
      </c>
      <c r="D6411" s="10" t="s">
        <v>6192</v>
      </c>
      <c r="E6411" s="10" t="str">
        <f>"644020240516215130184193"</f>
        <v>644020240516215130184193</v>
      </c>
      <c r="F6411" s="9"/>
    </row>
    <row r="6412" s="2" customFormat="1" ht="30" customHeight="1" spans="1:6">
      <c r="A6412" s="9">
        <v>6409</v>
      </c>
      <c r="B6412" s="10" t="s">
        <v>4840</v>
      </c>
      <c r="C6412" s="10" t="s">
        <v>4841</v>
      </c>
      <c r="D6412" s="10" t="s">
        <v>2913</v>
      </c>
      <c r="E6412" s="10" t="str">
        <f>"644020240514223912180408"</f>
        <v>644020240514223912180408</v>
      </c>
      <c r="F6412" s="9"/>
    </row>
    <row r="6413" s="2" customFormat="1" ht="30" customHeight="1" spans="1:6">
      <c r="A6413" s="9">
        <v>6410</v>
      </c>
      <c r="B6413" s="10" t="s">
        <v>4840</v>
      </c>
      <c r="C6413" s="10" t="s">
        <v>4841</v>
      </c>
      <c r="D6413" s="10" t="s">
        <v>6193</v>
      </c>
      <c r="E6413" s="10" t="str">
        <f>"644020240516221753184266"</f>
        <v>644020240516221753184266</v>
      </c>
      <c r="F6413" s="9"/>
    </row>
    <row r="6414" s="2" customFormat="1" ht="30" customHeight="1" spans="1:6">
      <c r="A6414" s="9">
        <v>6411</v>
      </c>
      <c r="B6414" s="10" t="s">
        <v>4840</v>
      </c>
      <c r="C6414" s="10" t="s">
        <v>4841</v>
      </c>
      <c r="D6414" s="10" t="s">
        <v>4918</v>
      </c>
      <c r="E6414" s="10" t="str">
        <f>"644020240516222454184282"</f>
        <v>644020240516222454184282</v>
      </c>
      <c r="F6414" s="9"/>
    </row>
    <row r="6415" s="2" customFormat="1" ht="30" customHeight="1" spans="1:6">
      <c r="A6415" s="9">
        <v>6412</v>
      </c>
      <c r="B6415" s="10" t="s">
        <v>4840</v>
      </c>
      <c r="C6415" s="10" t="s">
        <v>4841</v>
      </c>
      <c r="D6415" s="10" t="s">
        <v>596</v>
      </c>
      <c r="E6415" s="10" t="str">
        <f>"644020240516221706184262"</f>
        <v>644020240516221706184262</v>
      </c>
      <c r="F6415" s="9"/>
    </row>
    <row r="6416" s="2" customFormat="1" ht="30" customHeight="1" spans="1:6">
      <c r="A6416" s="9">
        <v>6413</v>
      </c>
      <c r="B6416" s="10" t="s">
        <v>4840</v>
      </c>
      <c r="C6416" s="10" t="s">
        <v>4841</v>
      </c>
      <c r="D6416" s="10" t="s">
        <v>6194</v>
      </c>
      <c r="E6416" s="10" t="str">
        <f>"644020240516223519184305"</f>
        <v>644020240516223519184305</v>
      </c>
      <c r="F6416" s="9"/>
    </row>
    <row r="6417" s="2" customFormat="1" ht="30" customHeight="1" spans="1:6">
      <c r="A6417" s="9">
        <v>6414</v>
      </c>
      <c r="B6417" s="10" t="s">
        <v>4840</v>
      </c>
      <c r="C6417" s="10" t="s">
        <v>4841</v>
      </c>
      <c r="D6417" s="10" t="s">
        <v>6195</v>
      </c>
      <c r="E6417" s="10" t="str">
        <f>"644020240516221623184260"</f>
        <v>644020240516221623184260</v>
      </c>
      <c r="F6417" s="9"/>
    </row>
    <row r="6418" s="2" customFormat="1" ht="30" customHeight="1" spans="1:6">
      <c r="A6418" s="9">
        <v>6415</v>
      </c>
      <c r="B6418" s="10" t="s">
        <v>4840</v>
      </c>
      <c r="C6418" s="10" t="s">
        <v>4841</v>
      </c>
      <c r="D6418" s="10" t="s">
        <v>3552</v>
      </c>
      <c r="E6418" s="10" t="str">
        <f>"644020240516223655184310"</f>
        <v>644020240516223655184310</v>
      </c>
      <c r="F6418" s="9"/>
    </row>
    <row r="6419" s="2" customFormat="1" ht="30" customHeight="1" spans="1:6">
      <c r="A6419" s="9">
        <v>6416</v>
      </c>
      <c r="B6419" s="10" t="s">
        <v>4840</v>
      </c>
      <c r="C6419" s="10" t="s">
        <v>4841</v>
      </c>
      <c r="D6419" s="10" t="s">
        <v>6196</v>
      </c>
      <c r="E6419" s="10" t="str">
        <f>"644020240513124413174389"</f>
        <v>644020240513124413174389</v>
      </c>
      <c r="F6419" s="9"/>
    </row>
    <row r="6420" s="2" customFormat="1" ht="30" customHeight="1" spans="1:6">
      <c r="A6420" s="9">
        <v>6417</v>
      </c>
      <c r="B6420" s="10" t="s">
        <v>4840</v>
      </c>
      <c r="C6420" s="10" t="s">
        <v>4841</v>
      </c>
      <c r="D6420" s="10" t="s">
        <v>6197</v>
      </c>
      <c r="E6420" s="10" t="str">
        <f>"644020240516222951184293"</f>
        <v>644020240516222951184293</v>
      </c>
      <c r="F6420" s="9"/>
    </row>
    <row r="6421" s="2" customFormat="1" ht="30" customHeight="1" spans="1:6">
      <c r="A6421" s="9">
        <v>6418</v>
      </c>
      <c r="B6421" s="10" t="s">
        <v>4840</v>
      </c>
      <c r="C6421" s="10" t="s">
        <v>4841</v>
      </c>
      <c r="D6421" s="10" t="s">
        <v>6198</v>
      </c>
      <c r="E6421" s="10" t="str">
        <f>"644020240516223113184296"</f>
        <v>644020240516223113184296</v>
      </c>
      <c r="F6421" s="9"/>
    </row>
    <row r="6422" s="2" customFormat="1" ht="30" customHeight="1" spans="1:6">
      <c r="A6422" s="9">
        <v>6419</v>
      </c>
      <c r="B6422" s="10" t="s">
        <v>4840</v>
      </c>
      <c r="C6422" s="10" t="s">
        <v>4841</v>
      </c>
      <c r="D6422" s="10" t="s">
        <v>6199</v>
      </c>
      <c r="E6422" s="10" t="str">
        <f>"644020240516222713184288"</f>
        <v>644020240516222713184288</v>
      </c>
      <c r="F6422" s="9"/>
    </row>
    <row r="6423" s="2" customFormat="1" ht="30" customHeight="1" spans="1:6">
      <c r="A6423" s="9">
        <v>6420</v>
      </c>
      <c r="B6423" s="10" t="s">
        <v>4840</v>
      </c>
      <c r="C6423" s="10" t="s">
        <v>4841</v>
      </c>
      <c r="D6423" s="10" t="s">
        <v>6200</v>
      </c>
      <c r="E6423" s="10" t="str">
        <f>"644020240516222930184292"</f>
        <v>644020240516222930184292</v>
      </c>
      <c r="F6423" s="9"/>
    </row>
    <row r="6424" s="2" customFormat="1" ht="30" customHeight="1" spans="1:6">
      <c r="A6424" s="9">
        <v>6421</v>
      </c>
      <c r="B6424" s="10" t="s">
        <v>4840</v>
      </c>
      <c r="C6424" s="10" t="s">
        <v>4841</v>
      </c>
      <c r="D6424" s="10" t="s">
        <v>6201</v>
      </c>
      <c r="E6424" s="10" t="str">
        <f>"644020240516224606184330"</f>
        <v>644020240516224606184330</v>
      </c>
      <c r="F6424" s="9"/>
    </row>
    <row r="6425" s="2" customFormat="1" ht="30" customHeight="1" spans="1:6">
      <c r="A6425" s="9">
        <v>6422</v>
      </c>
      <c r="B6425" s="10" t="s">
        <v>4840</v>
      </c>
      <c r="C6425" s="10" t="s">
        <v>4841</v>
      </c>
      <c r="D6425" s="10" t="s">
        <v>6202</v>
      </c>
      <c r="E6425" s="10" t="str">
        <f>"644020240513120346174155"</f>
        <v>644020240513120346174155</v>
      </c>
      <c r="F6425" s="9"/>
    </row>
    <row r="6426" s="2" customFormat="1" ht="30" customHeight="1" spans="1:6">
      <c r="A6426" s="9">
        <v>6423</v>
      </c>
      <c r="B6426" s="10" t="s">
        <v>4840</v>
      </c>
      <c r="C6426" s="10" t="s">
        <v>4841</v>
      </c>
      <c r="D6426" s="10" t="s">
        <v>6203</v>
      </c>
      <c r="E6426" s="10" t="str">
        <f>"644020240515122906181371"</f>
        <v>644020240515122906181371</v>
      </c>
      <c r="F6426" s="9"/>
    </row>
    <row r="6427" s="2" customFormat="1" ht="30" customHeight="1" spans="1:6">
      <c r="A6427" s="9">
        <v>6424</v>
      </c>
      <c r="B6427" s="10" t="s">
        <v>4840</v>
      </c>
      <c r="C6427" s="10" t="s">
        <v>4841</v>
      </c>
      <c r="D6427" s="10" t="s">
        <v>6204</v>
      </c>
      <c r="E6427" s="10" t="str">
        <f>"644020240515222857182421"</f>
        <v>644020240515222857182421</v>
      </c>
      <c r="F6427" s="9"/>
    </row>
    <row r="6428" s="2" customFormat="1" ht="30" customHeight="1" spans="1:6">
      <c r="A6428" s="9">
        <v>6425</v>
      </c>
      <c r="B6428" s="10" t="s">
        <v>4840</v>
      </c>
      <c r="C6428" s="10" t="s">
        <v>4841</v>
      </c>
      <c r="D6428" s="10" t="s">
        <v>6205</v>
      </c>
      <c r="E6428" s="10" t="str">
        <f>"644020240516222325184279"</f>
        <v>644020240516222325184279</v>
      </c>
      <c r="F6428" s="9"/>
    </row>
    <row r="6429" s="2" customFormat="1" ht="30" customHeight="1" spans="1:6">
      <c r="A6429" s="9">
        <v>6426</v>
      </c>
      <c r="B6429" s="10" t="s">
        <v>4840</v>
      </c>
      <c r="C6429" s="10" t="s">
        <v>4841</v>
      </c>
      <c r="D6429" s="10" t="s">
        <v>6206</v>
      </c>
      <c r="E6429" s="10" t="str">
        <f>"644020240515170252181967"</f>
        <v>644020240515170252181967</v>
      </c>
      <c r="F6429" s="9"/>
    </row>
    <row r="6430" s="2" customFormat="1" ht="30" customHeight="1" spans="1:6">
      <c r="A6430" s="9">
        <v>6427</v>
      </c>
      <c r="B6430" s="10" t="s">
        <v>4840</v>
      </c>
      <c r="C6430" s="10" t="s">
        <v>4841</v>
      </c>
      <c r="D6430" s="10" t="s">
        <v>6207</v>
      </c>
      <c r="E6430" s="10" t="str">
        <f>"644020240516120023183226"</f>
        <v>644020240516120023183226</v>
      </c>
      <c r="F6430" s="9"/>
    </row>
    <row r="6431" s="2" customFormat="1" ht="30" customHeight="1" spans="1:6">
      <c r="A6431" s="9">
        <v>6428</v>
      </c>
      <c r="B6431" s="10" t="s">
        <v>4840</v>
      </c>
      <c r="C6431" s="10" t="s">
        <v>4841</v>
      </c>
      <c r="D6431" s="10" t="s">
        <v>6208</v>
      </c>
      <c r="E6431" s="10" t="str">
        <f>"644020240516222827184291"</f>
        <v>644020240516222827184291</v>
      </c>
      <c r="F6431" s="9"/>
    </row>
    <row r="6432" s="2" customFormat="1" ht="30" customHeight="1" spans="1:6">
      <c r="A6432" s="9">
        <v>6429</v>
      </c>
      <c r="B6432" s="10" t="s">
        <v>4840</v>
      </c>
      <c r="C6432" s="10" t="s">
        <v>4841</v>
      </c>
      <c r="D6432" s="10" t="s">
        <v>6209</v>
      </c>
      <c r="E6432" s="10" t="str">
        <f>"644020240513203534176853"</f>
        <v>644020240513203534176853</v>
      </c>
      <c r="F6432" s="9"/>
    </row>
    <row r="6433" s="2" customFormat="1" ht="30" customHeight="1" spans="1:6">
      <c r="A6433" s="9">
        <v>6430</v>
      </c>
      <c r="B6433" s="10" t="s">
        <v>4840</v>
      </c>
      <c r="C6433" s="10" t="s">
        <v>4841</v>
      </c>
      <c r="D6433" s="10" t="s">
        <v>6210</v>
      </c>
      <c r="E6433" s="10" t="str">
        <f>"644020240516171325183799"</f>
        <v>644020240516171325183799</v>
      </c>
      <c r="F6433" s="9"/>
    </row>
    <row r="6434" s="2" customFormat="1" ht="30" customHeight="1" spans="1:6">
      <c r="A6434" s="9">
        <v>6431</v>
      </c>
      <c r="B6434" s="10" t="s">
        <v>4840</v>
      </c>
      <c r="C6434" s="10" t="s">
        <v>4841</v>
      </c>
      <c r="D6434" s="10" t="s">
        <v>6211</v>
      </c>
      <c r="E6434" s="10" t="str">
        <f>"644020240514150026179206"</f>
        <v>644020240514150026179206</v>
      </c>
      <c r="F6434" s="9"/>
    </row>
    <row r="6435" s="2" customFormat="1" ht="30" customHeight="1" spans="1:6">
      <c r="A6435" s="9">
        <v>6432</v>
      </c>
      <c r="B6435" s="10" t="s">
        <v>4840</v>
      </c>
      <c r="C6435" s="10" t="s">
        <v>4841</v>
      </c>
      <c r="D6435" s="10" t="s">
        <v>6212</v>
      </c>
      <c r="E6435" s="10" t="str">
        <f>"644020240516002512182661"</f>
        <v>644020240516002512182661</v>
      </c>
      <c r="F6435" s="9"/>
    </row>
    <row r="6436" s="2" customFormat="1" ht="30" customHeight="1" spans="1:6">
      <c r="A6436" s="9">
        <v>6433</v>
      </c>
      <c r="B6436" s="10" t="s">
        <v>4840</v>
      </c>
      <c r="C6436" s="10" t="s">
        <v>4841</v>
      </c>
      <c r="D6436" s="10" t="s">
        <v>6213</v>
      </c>
      <c r="E6436" s="10" t="str">
        <f>"644020240516225051184338"</f>
        <v>644020240516225051184338</v>
      </c>
      <c r="F6436" s="9"/>
    </row>
    <row r="6437" s="2" customFormat="1" ht="30" customHeight="1" spans="1:6">
      <c r="A6437" s="9">
        <v>6434</v>
      </c>
      <c r="B6437" s="10" t="s">
        <v>4840</v>
      </c>
      <c r="C6437" s="10" t="s">
        <v>4841</v>
      </c>
      <c r="D6437" s="10" t="s">
        <v>6214</v>
      </c>
      <c r="E6437" s="10" t="str">
        <f>"644020240516213738184161"</f>
        <v>644020240516213738184161</v>
      </c>
      <c r="F6437" s="9"/>
    </row>
    <row r="6438" s="2" customFormat="1" ht="30" customHeight="1" spans="1:6">
      <c r="A6438" s="9">
        <v>6435</v>
      </c>
      <c r="B6438" s="10" t="s">
        <v>4840</v>
      </c>
      <c r="C6438" s="10" t="s">
        <v>4841</v>
      </c>
      <c r="D6438" s="10" t="s">
        <v>6215</v>
      </c>
      <c r="E6438" s="10" t="str">
        <f>"644020240516221245184250"</f>
        <v>644020240516221245184250</v>
      </c>
      <c r="F6438" s="9"/>
    </row>
    <row r="6439" s="2" customFormat="1" ht="30" customHeight="1" spans="1:6">
      <c r="A6439" s="9">
        <v>6436</v>
      </c>
      <c r="B6439" s="10" t="s">
        <v>4840</v>
      </c>
      <c r="C6439" s="10" t="s">
        <v>4841</v>
      </c>
      <c r="D6439" s="10" t="s">
        <v>6216</v>
      </c>
      <c r="E6439" s="10" t="str">
        <f>"644020240516230858184375"</f>
        <v>644020240516230858184375</v>
      </c>
      <c r="F6439" s="9"/>
    </row>
    <row r="6440" s="2" customFormat="1" ht="30" customHeight="1" spans="1:6">
      <c r="A6440" s="9">
        <v>6437</v>
      </c>
      <c r="B6440" s="10" t="s">
        <v>4840</v>
      </c>
      <c r="C6440" s="10" t="s">
        <v>4841</v>
      </c>
      <c r="D6440" s="10" t="s">
        <v>2368</v>
      </c>
      <c r="E6440" s="10" t="str">
        <f>"644020240516153532183556"</f>
        <v>644020240516153532183556</v>
      </c>
      <c r="F6440" s="9"/>
    </row>
    <row r="6441" s="2" customFormat="1" ht="30" customHeight="1" spans="1:6">
      <c r="A6441" s="9">
        <v>6438</v>
      </c>
      <c r="B6441" s="10" t="s">
        <v>4840</v>
      </c>
      <c r="C6441" s="10" t="s">
        <v>4841</v>
      </c>
      <c r="D6441" s="10" t="s">
        <v>6217</v>
      </c>
      <c r="E6441" s="10" t="str">
        <f>"644020240516230439184366"</f>
        <v>644020240516230439184366</v>
      </c>
      <c r="F6441" s="9"/>
    </row>
    <row r="6442" s="2" customFormat="1" ht="30" customHeight="1" spans="1:6">
      <c r="A6442" s="9">
        <v>6439</v>
      </c>
      <c r="B6442" s="10" t="s">
        <v>4840</v>
      </c>
      <c r="C6442" s="10" t="s">
        <v>4841</v>
      </c>
      <c r="D6442" s="10" t="s">
        <v>4119</v>
      </c>
      <c r="E6442" s="10" t="str">
        <f>"644020240516224837184332"</f>
        <v>644020240516224837184332</v>
      </c>
      <c r="F6442" s="9"/>
    </row>
    <row r="6443" s="2" customFormat="1" ht="30" customHeight="1" spans="1:6">
      <c r="A6443" s="9">
        <v>6440</v>
      </c>
      <c r="B6443" s="10" t="s">
        <v>4840</v>
      </c>
      <c r="C6443" s="10" t="s">
        <v>4841</v>
      </c>
      <c r="D6443" s="10" t="s">
        <v>6218</v>
      </c>
      <c r="E6443" s="10" t="str">
        <f>"644020240516230849184374"</f>
        <v>644020240516230849184374</v>
      </c>
      <c r="F6443" s="9"/>
    </row>
    <row r="6444" s="2" customFormat="1" ht="30" customHeight="1" spans="1:6">
      <c r="A6444" s="9">
        <v>6441</v>
      </c>
      <c r="B6444" s="10" t="s">
        <v>4840</v>
      </c>
      <c r="C6444" s="10" t="s">
        <v>4841</v>
      </c>
      <c r="D6444" s="10" t="s">
        <v>6219</v>
      </c>
      <c r="E6444" s="10" t="str">
        <f>"644020240516230303184362"</f>
        <v>644020240516230303184362</v>
      </c>
      <c r="F6444" s="9"/>
    </row>
    <row r="6445" s="2" customFormat="1" ht="30" customHeight="1" spans="1:6">
      <c r="A6445" s="9">
        <v>6442</v>
      </c>
      <c r="B6445" s="10" t="s">
        <v>4840</v>
      </c>
      <c r="C6445" s="10" t="s">
        <v>4841</v>
      </c>
      <c r="D6445" s="10" t="s">
        <v>2018</v>
      </c>
      <c r="E6445" s="10" t="str">
        <f>"644020240516230046184358"</f>
        <v>644020240516230046184358</v>
      </c>
      <c r="F6445" s="9"/>
    </row>
    <row r="6446" s="2" customFormat="1" ht="30" customHeight="1" spans="1:6">
      <c r="A6446" s="9">
        <v>6443</v>
      </c>
      <c r="B6446" s="10" t="s">
        <v>4840</v>
      </c>
      <c r="C6446" s="10" t="s">
        <v>4841</v>
      </c>
      <c r="D6446" s="10" t="s">
        <v>6220</v>
      </c>
      <c r="E6446" s="10" t="str">
        <f>"644020240516231059184377"</f>
        <v>644020240516231059184377</v>
      </c>
      <c r="F6446" s="9"/>
    </row>
    <row r="6447" s="2" customFormat="1" ht="30" customHeight="1" spans="1:6">
      <c r="A6447" s="9">
        <v>6444</v>
      </c>
      <c r="B6447" s="10" t="s">
        <v>4840</v>
      </c>
      <c r="C6447" s="10" t="s">
        <v>4841</v>
      </c>
      <c r="D6447" s="10" t="s">
        <v>6221</v>
      </c>
      <c r="E6447" s="10" t="str">
        <f>"644020240514121017178846"</f>
        <v>644020240514121017178846</v>
      </c>
      <c r="F6447" s="9"/>
    </row>
    <row r="6448" s="2" customFormat="1" ht="30" customHeight="1" spans="1:6">
      <c r="A6448" s="9">
        <v>6445</v>
      </c>
      <c r="B6448" s="10" t="s">
        <v>4840</v>
      </c>
      <c r="C6448" s="10" t="s">
        <v>4841</v>
      </c>
      <c r="D6448" s="10" t="s">
        <v>6222</v>
      </c>
      <c r="E6448" s="10" t="str">
        <f>"644020240515161052181810"</f>
        <v>644020240515161052181810</v>
      </c>
      <c r="F6448" s="9"/>
    </row>
    <row r="6449" s="2" customFormat="1" ht="30" customHeight="1" spans="1:6">
      <c r="A6449" s="9">
        <v>6446</v>
      </c>
      <c r="B6449" s="10" t="s">
        <v>4840</v>
      </c>
      <c r="C6449" s="10" t="s">
        <v>4841</v>
      </c>
      <c r="D6449" s="10" t="s">
        <v>5217</v>
      </c>
      <c r="E6449" s="10" t="str">
        <f>"644020240515163052181859"</f>
        <v>644020240515163052181859</v>
      </c>
      <c r="F6449" s="9"/>
    </row>
    <row r="6450" s="2" customFormat="1" ht="30" customHeight="1" spans="1:6">
      <c r="A6450" s="9">
        <v>6447</v>
      </c>
      <c r="B6450" s="10" t="s">
        <v>4840</v>
      </c>
      <c r="C6450" s="10" t="s">
        <v>4841</v>
      </c>
      <c r="D6450" s="10" t="s">
        <v>6223</v>
      </c>
      <c r="E6450" s="10" t="str">
        <f>"644020240516232701184403"</f>
        <v>644020240516232701184403</v>
      </c>
      <c r="F6450" s="9"/>
    </row>
    <row r="6451" s="2" customFormat="1" ht="30" customHeight="1" spans="1:6">
      <c r="A6451" s="9">
        <v>6448</v>
      </c>
      <c r="B6451" s="10" t="s">
        <v>4840</v>
      </c>
      <c r="C6451" s="10" t="s">
        <v>4841</v>
      </c>
      <c r="D6451" s="10" t="s">
        <v>6224</v>
      </c>
      <c r="E6451" s="10" t="str">
        <f>"644020240516232614184402"</f>
        <v>644020240516232614184402</v>
      </c>
      <c r="F6451" s="9"/>
    </row>
    <row r="6452" s="2" customFormat="1" ht="30" customHeight="1" spans="1:6">
      <c r="A6452" s="9">
        <v>6449</v>
      </c>
      <c r="B6452" s="10" t="s">
        <v>4840</v>
      </c>
      <c r="C6452" s="10" t="s">
        <v>4841</v>
      </c>
      <c r="D6452" s="10" t="s">
        <v>6225</v>
      </c>
      <c r="E6452" s="10" t="str">
        <f>"644020240516233044184415"</f>
        <v>644020240516233044184415</v>
      </c>
      <c r="F6452" s="9"/>
    </row>
    <row r="6453" s="2" customFormat="1" ht="30" customHeight="1" spans="1:6">
      <c r="A6453" s="9">
        <v>6450</v>
      </c>
      <c r="B6453" s="10" t="s">
        <v>4840</v>
      </c>
      <c r="C6453" s="10" t="s">
        <v>4841</v>
      </c>
      <c r="D6453" s="10" t="s">
        <v>6226</v>
      </c>
      <c r="E6453" s="10" t="str">
        <f>"644020240516232753184408"</f>
        <v>644020240516232753184408</v>
      </c>
      <c r="F6453" s="9"/>
    </row>
    <row r="6454" s="2" customFormat="1" ht="30" customHeight="1" spans="1:6">
      <c r="A6454" s="9">
        <v>6451</v>
      </c>
      <c r="B6454" s="10" t="s">
        <v>4840</v>
      </c>
      <c r="C6454" s="10" t="s">
        <v>4841</v>
      </c>
      <c r="D6454" s="10" t="s">
        <v>6227</v>
      </c>
      <c r="E6454" s="10" t="str">
        <f>"644020240516215932184227"</f>
        <v>644020240516215932184227</v>
      </c>
      <c r="F6454" s="9"/>
    </row>
    <row r="6455" s="2" customFormat="1" ht="30" customHeight="1" spans="1:6">
      <c r="A6455" s="9">
        <v>6452</v>
      </c>
      <c r="B6455" s="10" t="s">
        <v>4840</v>
      </c>
      <c r="C6455" s="10" t="s">
        <v>4841</v>
      </c>
      <c r="D6455" s="10" t="s">
        <v>6228</v>
      </c>
      <c r="E6455" s="10" t="str">
        <f>"644020240516104849183073"</f>
        <v>644020240516104849183073</v>
      </c>
      <c r="F6455" s="9"/>
    </row>
    <row r="6456" s="2" customFormat="1" ht="30" customHeight="1" spans="1:6">
      <c r="A6456" s="9">
        <v>6453</v>
      </c>
      <c r="B6456" s="10" t="s">
        <v>4840</v>
      </c>
      <c r="C6456" s="10" t="s">
        <v>4841</v>
      </c>
      <c r="D6456" s="10" t="s">
        <v>6229</v>
      </c>
      <c r="E6456" s="10" t="str">
        <f>"644020240516232702184404"</f>
        <v>644020240516232702184404</v>
      </c>
      <c r="F6456" s="9"/>
    </row>
    <row r="6457" s="2" customFormat="1" ht="30" customHeight="1" spans="1:6">
      <c r="A6457" s="9">
        <v>6454</v>
      </c>
      <c r="B6457" s="10" t="s">
        <v>4840</v>
      </c>
      <c r="C6457" s="10" t="s">
        <v>4841</v>
      </c>
      <c r="D6457" s="10" t="s">
        <v>6230</v>
      </c>
      <c r="E6457" s="10" t="str">
        <f>"644020240516234012184426"</f>
        <v>644020240516234012184426</v>
      </c>
      <c r="F6457" s="9"/>
    </row>
    <row r="6458" s="2" customFormat="1" ht="30" customHeight="1" spans="1:6">
      <c r="A6458" s="9">
        <v>6455</v>
      </c>
      <c r="B6458" s="10" t="s">
        <v>4840</v>
      </c>
      <c r="C6458" s="10" t="s">
        <v>4841</v>
      </c>
      <c r="D6458" s="10" t="s">
        <v>5005</v>
      </c>
      <c r="E6458" s="10" t="str">
        <f>"644020240516161504183650"</f>
        <v>644020240516161504183650</v>
      </c>
      <c r="F6458" s="9"/>
    </row>
    <row r="6459" s="2" customFormat="1" ht="30" customHeight="1" spans="1:6">
      <c r="A6459" s="9">
        <v>6456</v>
      </c>
      <c r="B6459" s="10" t="s">
        <v>4840</v>
      </c>
      <c r="C6459" s="10" t="s">
        <v>4841</v>
      </c>
      <c r="D6459" s="10" t="s">
        <v>6231</v>
      </c>
      <c r="E6459" s="10" t="str">
        <f>"644020240516230033184357"</f>
        <v>644020240516230033184357</v>
      </c>
      <c r="F6459" s="9"/>
    </row>
    <row r="6460" s="2" customFormat="1" ht="30" customHeight="1" spans="1:6">
      <c r="A6460" s="9">
        <v>6457</v>
      </c>
      <c r="B6460" s="10" t="s">
        <v>4840</v>
      </c>
      <c r="C6460" s="10" t="s">
        <v>4841</v>
      </c>
      <c r="D6460" s="10" t="s">
        <v>165</v>
      </c>
      <c r="E6460" s="10" t="str">
        <f>"644020240516113744183187"</f>
        <v>644020240516113744183187</v>
      </c>
      <c r="F6460" s="9"/>
    </row>
    <row r="6461" s="2" customFormat="1" ht="30" customHeight="1" spans="1:6">
      <c r="A6461" s="9">
        <v>6458</v>
      </c>
      <c r="B6461" s="10" t="s">
        <v>4840</v>
      </c>
      <c r="C6461" s="10" t="s">
        <v>4841</v>
      </c>
      <c r="D6461" s="10" t="s">
        <v>6232</v>
      </c>
      <c r="E6461" s="10" t="str">
        <f>"644020240516234618184436"</f>
        <v>644020240516234618184436</v>
      </c>
      <c r="F6461" s="9"/>
    </row>
    <row r="6462" s="2" customFormat="1" ht="30" customHeight="1" spans="1:6">
      <c r="A6462" s="9">
        <v>6459</v>
      </c>
      <c r="B6462" s="10" t="s">
        <v>4840</v>
      </c>
      <c r="C6462" s="10" t="s">
        <v>4841</v>
      </c>
      <c r="D6462" s="10" t="s">
        <v>6233</v>
      </c>
      <c r="E6462" s="10" t="str">
        <f>"644020240516161042183641"</f>
        <v>644020240516161042183641</v>
      </c>
      <c r="F6462" s="9"/>
    </row>
    <row r="6463" s="2" customFormat="1" ht="30" customHeight="1" spans="1:6">
      <c r="A6463" s="9">
        <v>6460</v>
      </c>
      <c r="B6463" s="10" t="s">
        <v>4840</v>
      </c>
      <c r="C6463" s="10" t="s">
        <v>4841</v>
      </c>
      <c r="D6463" s="10" t="s">
        <v>1531</v>
      </c>
      <c r="E6463" s="10" t="str">
        <f>"644020240516235409184448"</f>
        <v>644020240516235409184448</v>
      </c>
      <c r="F6463" s="9"/>
    </row>
    <row r="6464" s="2" customFormat="1" ht="30" customHeight="1" spans="1:6">
      <c r="A6464" s="9">
        <v>6461</v>
      </c>
      <c r="B6464" s="10" t="s">
        <v>4840</v>
      </c>
      <c r="C6464" s="10" t="s">
        <v>4841</v>
      </c>
      <c r="D6464" s="10" t="s">
        <v>6234</v>
      </c>
      <c r="E6464" s="10" t="str">
        <f>"644020240516224248184319"</f>
        <v>644020240516224248184319</v>
      </c>
      <c r="F6464" s="9"/>
    </row>
    <row r="6465" s="2" customFormat="1" ht="30" customHeight="1" spans="1:6">
      <c r="A6465" s="9">
        <v>6462</v>
      </c>
      <c r="B6465" s="10" t="s">
        <v>4840</v>
      </c>
      <c r="C6465" s="10" t="s">
        <v>4841</v>
      </c>
      <c r="D6465" s="10" t="s">
        <v>6235</v>
      </c>
      <c r="E6465" s="10" t="str">
        <f>"644020240515225708182502"</f>
        <v>644020240515225708182502</v>
      </c>
      <c r="F6465" s="9"/>
    </row>
    <row r="6466" s="2" customFormat="1" ht="30" customHeight="1" spans="1:6">
      <c r="A6466" s="9">
        <v>6463</v>
      </c>
      <c r="B6466" s="10" t="s">
        <v>4840</v>
      </c>
      <c r="C6466" s="10" t="s">
        <v>4841</v>
      </c>
      <c r="D6466" s="10" t="s">
        <v>6236</v>
      </c>
      <c r="E6466" s="10" t="str">
        <f>"644020240516223432184304"</f>
        <v>644020240516223432184304</v>
      </c>
      <c r="F6466" s="9"/>
    </row>
    <row r="6467" s="2" customFormat="1" ht="30" customHeight="1" spans="1:6">
      <c r="A6467" s="9">
        <v>6464</v>
      </c>
      <c r="B6467" s="10" t="s">
        <v>4840</v>
      </c>
      <c r="C6467" s="10" t="s">
        <v>4841</v>
      </c>
      <c r="D6467" s="10" t="s">
        <v>6237</v>
      </c>
      <c r="E6467" s="10" t="str">
        <f>"644020240514211955180170"</f>
        <v>644020240514211955180170</v>
      </c>
      <c r="F6467" s="9"/>
    </row>
    <row r="6468" s="2" customFormat="1" ht="30" customHeight="1" spans="1:6">
      <c r="A6468" s="9">
        <v>6465</v>
      </c>
      <c r="B6468" s="10" t="s">
        <v>4840</v>
      </c>
      <c r="C6468" s="10" t="s">
        <v>4841</v>
      </c>
      <c r="D6468" s="10" t="s">
        <v>6238</v>
      </c>
      <c r="E6468" s="10" t="str">
        <f>"644020240517001435184479"</f>
        <v>644020240517001435184479</v>
      </c>
      <c r="F6468" s="9"/>
    </row>
    <row r="6469" s="2" customFormat="1" ht="30" customHeight="1" spans="1:6">
      <c r="A6469" s="9">
        <v>6466</v>
      </c>
      <c r="B6469" s="10" t="s">
        <v>4840</v>
      </c>
      <c r="C6469" s="10" t="s">
        <v>4841</v>
      </c>
      <c r="D6469" s="10" t="s">
        <v>6239</v>
      </c>
      <c r="E6469" s="10" t="str">
        <f>"644020240516232525184401"</f>
        <v>644020240516232525184401</v>
      </c>
      <c r="F6469" s="9"/>
    </row>
    <row r="6470" s="2" customFormat="1" ht="30" customHeight="1" spans="1:6">
      <c r="A6470" s="9">
        <v>6467</v>
      </c>
      <c r="B6470" s="10" t="s">
        <v>4840</v>
      </c>
      <c r="C6470" s="10" t="s">
        <v>4841</v>
      </c>
      <c r="D6470" s="10" t="s">
        <v>6240</v>
      </c>
      <c r="E6470" s="10" t="str">
        <f>"644020240517000541184466"</f>
        <v>644020240517000541184466</v>
      </c>
      <c r="F6470" s="9"/>
    </row>
    <row r="6471" s="2" customFormat="1" ht="30" customHeight="1" spans="1:6">
      <c r="A6471" s="9">
        <v>6468</v>
      </c>
      <c r="B6471" s="10" t="s">
        <v>4840</v>
      </c>
      <c r="C6471" s="10" t="s">
        <v>4841</v>
      </c>
      <c r="D6471" s="10" t="s">
        <v>6241</v>
      </c>
      <c r="E6471" s="10" t="str">
        <f>"644020240517000813184469"</f>
        <v>644020240517000813184469</v>
      </c>
      <c r="F6471" s="9"/>
    </row>
    <row r="6472" s="2" customFormat="1" ht="30" customHeight="1" spans="1:6">
      <c r="A6472" s="9">
        <v>6469</v>
      </c>
      <c r="B6472" s="10" t="s">
        <v>4840</v>
      </c>
      <c r="C6472" s="10" t="s">
        <v>4841</v>
      </c>
      <c r="D6472" s="10" t="s">
        <v>1004</v>
      </c>
      <c r="E6472" s="10" t="str">
        <f>"644020240516222952184294"</f>
        <v>644020240516222952184294</v>
      </c>
      <c r="F6472" s="9"/>
    </row>
    <row r="6473" s="2" customFormat="1" ht="30" customHeight="1" spans="1:6">
      <c r="A6473" s="9">
        <v>6470</v>
      </c>
      <c r="B6473" s="10" t="s">
        <v>4840</v>
      </c>
      <c r="C6473" s="10" t="s">
        <v>4841</v>
      </c>
      <c r="D6473" s="10" t="s">
        <v>6242</v>
      </c>
      <c r="E6473" s="10" t="str">
        <f>"644020240517001125184474"</f>
        <v>644020240517001125184474</v>
      </c>
      <c r="F6473" s="9"/>
    </row>
    <row r="6474" s="2" customFormat="1" ht="30" customHeight="1" spans="1:6">
      <c r="A6474" s="9">
        <v>6471</v>
      </c>
      <c r="B6474" s="10" t="s">
        <v>4840</v>
      </c>
      <c r="C6474" s="10" t="s">
        <v>4841</v>
      </c>
      <c r="D6474" s="10" t="s">
        <v>6243</v>
      </c>
      <c r="E6474" s="10" t="str">
        <f>"644020240516235739184455"</f>
        <v>644020240516235739184455</v>
      </c>
      <c r="F6474" s="9"/>
    </row>
    <row r="6475" s="2" customFormat="1" ht="30" customHeight="1" spans="1:6">
      <c r="A6475" s="9">
        <v>6472</v>
      </c>
      <c r="B6475" s="10" t="s">
        <v>4840</v>
      </c>
      <c r="C6475" s="10" t="s">
        <v>4841</v>
      </c>
      <c r="D6475" s="10" t="s">
        <v>2907</v>
      </c>
      <c r="E6475" s="10" t="str">
        <f>"644020240516232339184397"</f>
        <v>644020240516232339184397</v>
      </c>
      <c r="F6475" s="9"/>
    </row>
    <row r="6476" s="2" customFormat="1" ht="30" customHeight="1" spans="1:6">
      <c r="A6476" s="9">
        <v>6473</v>
      </c>
      <c r="B6476" s="10" t="s">
        <v>4840</v>
      </c>
      <c r="C6476" s="10" t="s">
        <v>4841</v>
      </c>
      <c r="D6476" s="10" t="s">
        <v>6244</v>
      </c>
      <c r="E6476" s="10" t="str">
        <f>"644020240517003132184497"</f>
        <v>644020240517003132184497</v>
      </c>
      <c r="F6476" s="9"/>
    </row>
    <row r="6477" s="2" customFormat="1" ht="30" customHeight="1" spans="1:6">
      <c r="A6477" s="9">
        <v>6474</v>
      </c>
      <c r="B6477" s="10" t="s">
        <v>4840</v>
      </c>
      <c r="C6477" s="10" t="s">
        <v>4841</v>
      </c>
      <c r="D6477" s="10" t="s">
        <v>6245</v>
      </c>
      <c r="E6477" s="10" t="str">
        <f>"644020240516234847184440"</f>
        <v>644020240516234847184440</v>
      </c>
      <c r="F6477" s="9"/>
    </row>
    <row r="6478" s="2" customFormat="1" ht="30" customHeight="1" spans="1:6">
      <c r="A6478" s="9">
        <v>6475</v>
      </c>
      <c r="B6478" s="10" t="s">
        <v>4840</v>
      </c>
      <c r="C6478" s="10" t="s">
        <v>4841</v>
      </c>
      <c r="D6478" s="10" t="s">
        <v>6246</v>
      </c>
      <c r="E6478" s="10" t="str">
        <f>"644020240516155526183600"</f>
        <v>644020240516155526183600</v>
      </c>
      <c r="F6478" s="9"/>
    </row>
    <row r="6479" s="2" customFormat="1" ht="30" customHeight="1" spans="1:6">
      <c r="A6479" s="9">
        <v>6476</v>
      </c>
      <c r="B6479" s="10" t="s">
        <v>4840</v>
      </c>
      <c r="C6479" s="10" t="s">
        <v>4841</v>
      </c>
      <c r="D6479" s="10" t="s">
        <v>6247</v>
      </c>
      <c r="E6479" s="10" t="str">
        <f>"644020240517002102184488"</f>
        <v>644020240517002102184488</v>
      </c>
      <c r="F6479" s="9"/>
    </row>
    <row r="6480" s="2" customFormat="1" ht="30" customHeight="1" spans="1:6">
      <c r="A6480" s="9">
        <v>6477</v>
      </c>
      <c r="B6480" s="10" t="s">
        <v>4840</v>
      </c>
      <c r="C6480" s="10" t="s">
        <v>4841</v>
      </c>
      <c r="D6480" s="10" t="s">
        <v>6248</v>
      </c>
      <c r="E6480" s="10" t="str">
        <f>"644020240516173034183831"</f>
        <v>644020240516173034183831</v>
      </c>
      <c r="F6480" s="9"/>
    </row>
    <row r="6481" s="2" customFormat="1" ht="30" customHeight="1" spans="1:6">
      <c r="A6481" s="9">
        <v>6478</v>
      </c>
      <c r="B6481" s="10" t="s">
        <v>4840</v>
      </c>
      <c r="C6481" s="10" t="s">
        <v>4841</v>
      </c>
      <c r="D6481" s="10" t="s">
        <v>6249</v>
      </c>
      <c r="E6481" s="10" t="str">
        <f>"644020240516203331184070"</f>
        <v>644020240516203331184070</v>
      </c>
      <c r="F6481" s="9"/>
    </row>
    <row r="6482" s="2" customFormat="1" ht="30" customHeight="1" spans="1:6">
      <c r="A6482" s="9">
        <v>6479</v>
      </c>
      <c r="B6482" s="10" t="s">
        <v>4840</v>
      </c>
      <c r="C6482" s="10" t="s">
        <v>4841</v>
      </c>
      <c r="D6482" s="10" t="s">
        <v>6250</v>
      </c>
      <c r="E6482" s="10" t="str">
        <f>"644020240513232225177560"</f>
        <v>644020240513232225177560</v>
      </c>
      <c r="F6482" s="9"/>
    </row>
    <row r="6483" s="2" customFormat="1" ht="30" customHeight="1" spans="1:6">
      <c r="A6483" s="9">
        <v>6480</v>
      </c>
      <c r="B6483" s="10" t="s">
        <v>4840</v>
      </c>
      <c r="C6483" s="10" t="s">
        <v>4841</v>
      </c>
      <c r="D6483" s="10" t="s">
        <v>6251</v>
      </c>
      <c r="E6483" s="10" t="str">
        <f>"644020240517003840184503"</f>
        <v>644020240517003840184503</v>
      </c>
      <c r="F6483" s="9"/>
    </row>
    <row r="6484" s="2" customFormat="1" ht="30" customHeight="1" spans="1:6">
      <c r="A6484" s="9">
        <v>6481</v>
      </c>
      <c r="B6484" s="10" t="s">
        <v>4840</v>
      </c>
      <c r="C6484" s="10" t="s">
        <v>4841</v>
      </c>
      <c r="D6484" s="10" t="s">
        <v>6252</v>
      </c>
      <c r="E6484" s="10" t="str">
        <f>"644020240512230107171682"</f>
        <v>644020240512230107171682</v>
      </c>
      <c r="F6484" s="9"/>
    </row>
    <row r="6485" s="2" customFormat="1" ht="30" customHeight="1" spans="1:6">
      <c r="A6485" s="9">
        <v>6482</v>
      </c>
      <c r="B6485" s="10" t="s">
        <v>4840</v>
      </c>
      <c r="C6485" s="10" t="s">
        <v>4841</v>
      </c>
      <c r="D6485" s="10" t="s">
        <v>6253</v>
      </c>
      <c r="E6485" s="10" t="str">
        <f>"644020240517002152184491"</f>
        <v>644020240517002152184491</v>
      </c>
      <c r="F6485" s="9"/>
    </row>
    <row r="6486" s="2" customFormat="1" ht="30" customHeight="1" spans="1:6">
      <c r="A6486" s="9">
        <v>6483</v>
      </c>
      <c r="B6486" s="10" t="s">
        <v>4840</v>
      </c>
      <c r="C6486" s="10" t="s">
        <v>4841</v>
      </c>
      <c r="D6486" s="10" t="s">
        <v>6254</v>
      </c>
      <c r="E6486" s="10" t="str">
        <f>"644020240517003029184496"</f>
        <v>644020240517003029184496</v>
      </c>
      <c r="F6486" s="9"/>
    </row>
    <row r="6487" s="2" customFormat="1" ht="30" customHeight="1" spans="1:6">
      <c r="A6487" s="9">
        <v>6484</v>
      </c>
      <c r="B6487" s="10" t="s">
        <v>4840</v>
      </c>
      <c r="C6487" s="10" t="s">
        <v>4841</v>
      </c>
      <c r="D6487" s="10" t="s">
        <v>6255</v>
      </c>
      <c r="E6487" s="10" t="str">
        <f>"644020240516235021184443"</f>
        <v>644020240516235021184443</v>
      </c>
      <c r="F6487" s="9"/>
    </row>
    <row r="6488" s="2" customFormat="1" ht="30" customHeight="1" spans="1:6">
      <c r="A6488" s="9">
        <v>6485</v>
      </c>
      <c r="B6488" s="10" t="s">
        <v>4840</v>
      </c>
      <c r="C6488" s="10" t="s">
        <v>4841</v>
      </c>
      <c r="D6488" s="10" t="s">
        <v>6256</v>
      </c>
      <c r="E6488" s="10" t="str">
        <f>"644020240517013044184529"</f>
        <v>644020240517013044184529</v>
      </c>
      <c r="F6488" s="9"/>
    </row>
    <row r="6489" s="2" customFormat="1" ht="30" customHeight="1" spans="1:6">
      <c r="A6489" s="9">
        <v>6486</v>
      </c>
      <c r="B6489" s="10" t="s">
        <v>4840</v>
      </c>
      <c r="C6489" s="10" t="s">
        <v>4841</v>
      </c>
      <c r="D6489" s="10" t="s">
        <v>6257</v>
      </c>
      <c r="E6489" s="10" t="str">
        <f>"644020240516233841184423"</f>
        <v>644020240516233841184423</v>
      </c>
      <c r="F6489" s="9"/>
    </row>
    <row r="6490" s="2" customFormat="1" ht="30" customHeight="1" spans="1:6">
      <c r="A6490" s="9">
        <v>6487</v>
      </c>
      <c r="B6490" s="10" t="s">
        <v>4840</v>
      </c>
      <c r="C6490" s="10" t="s">
        <v>4841</v>
      </c>
      <c r="D6490" s="10" t="s">
        <v>6258</v>
      </c>
      <c r="E6490" s="10" t="str">
        <f>"644020240517015429184544"</f>
        <v>644020240517015429184544</v>
      </c>
      <c r="F6490" s="9"/>
    </row>
    <row r="6491" s="2" customFormat="1" ht="30" customHeight="1" spans="1:6">
      <c r="A6491" s="9">
        <v>6488</v>
      </c>
      <c r="B6491" s="10" t="s">
        <v>4840</v>
      </c>
      <c r="C6491" s="10" t="s">
        <v>4841</v>
      </c>
      <c r="D6491" s="10" t="s">
        <v>6259</v>
      </c>
      <c r="E6491" s="10" t="str">
        <f>"644020240515221624182382"</f>
        <v>644020240515221624182382</v>
      </c>
      <c r="F6491" s="9"/>
    </row>
    <row r="6492" s="2" customFormat="1" ht="30" customHeight="1" spans="1:6">
      <c r="A6492" s="9">
        <v>6489</v>
      </c>
      <c r="B6492" s="10" t="s">
        <v>4840</v>
      </c>
      <c r="C6492" s="10" t="s">
        <v>4841</v>
      </c>
      <c r="D6492" s="10" t="s">
        <v>6260</v>
      </c>
      <c r="E6492" s="10" t="str">
        <f>"644020240517013752184534"</f>
        <v>644020240517013752184534</v>
      </c>
      <c r="F6492" s="9"/>
    </row>
    <row r="6493" s="2" customFormat="1" ht="30" customHeight="1" spans="1:6">
      <c r="A6493" s="9">
        <v>6490</v>
      </c>
      <c r="B6493" s="10" t="s">
        <v>4840</v>
      </c>
      <c r="C6493" s="10" t="s">
        <v>4841</v>
      </c>
      <c r="D6493" s="10" t="s">
        <v>6261</v>
      </c>
      <c r="E6493" s="10" t="str">
        <f>"644020240514063129177767"</f>
        <v>644020240514063129177767</v>
      </c>
      <c r="F6493" s="9"/>
    </row>
    <row r="6494" s="2" customFormat="1" ht="30" customHeight="1" spans="1:6">
      <c r="A6494" s="9">
        <v>6491</v>
      </c>
      <c r="B6494" s="10" t="s">
        <v>4840</v>
      </c>
      <c r="C6494" s="10" t="s">
        <v>4841</v>
      </c>
      <c r="D6494" s="10" t="s">
        <v>6262</v>
      </c>
      <c r="E6494" s="10" t="str">
        <f>"644020240516171213183796"</f>
        <v>644020240516171213183796</v>
      </c>
      <c r="F6494" s="9"/>
    </row>
    <row r="6495" s="2" customFormat="1" ht="30" customHeight="1" spans="1:6">
      <c r="A6495" s="9">
        <v>6492</v>
      </c>
      <c r="B6495" s="10" t="s">
        <v>4840</v>
      </c>
      <c r="C6495" s="10" t="s">
        <v>4841</v>
      </c>
      <c r="D6495" s="10" t="s">
        <v>6263</v>
      </c>
      <c r="E6495" s="10" t="str">
        <f>"644020240517073659184579"</f>
        <v>644020240517073659184579</v>
      </c>
      <c r="F6495" s="9"/>
    </row>
    <row r="6496" s="2" customFormat="1" ht="30" customHeight="1" spans="1:6">
      <c r="A6496" s="9">
        <v>6493</v>
      </c>
      <c r="B6496" s="10" t="s">
        <v>4840</v>
      </c>
      <c r="C6496" s="10" t="s">
        <v>4841</v>
      </c>
      <c r="D6496" s="10" t="s">
        <v>6264</v>
      </c>
      <c r="E6496" s="10" t="str">
        <f>"644020240517080728184605"</f>
        <v>644020240517080728184605</v>
      </c>
      <c r="F6496" s="9"/>
    </row>
    <row r="6497" s="2" customFormat="1" ht="30" customHeight="1" spans="1:6">
      <c r="A6497" s="9">
        <v>6494</v>
      </c>
      <c r="B6497" s="10" t="s">
        <v>4840</v>
      </c>
      <c r="C6497" s="10" t="s">
        <v>4841</v>
      </c>
      <c r="D6497" s="10" t="s">
        <v>6265</v>
      </c>
      <c r="E6497" s="10" t="str">
        <f>"644020240517081242184615"</f>
        <v>644020240517081242184615</v>
      </c>
      <c r="F6497" s="9"/>
    </row>
    <row r="6498" s="2" customFormat="1" ht="30" customHeight="1" spans="1:6">
      <c r="A6498" s="9">
        <v>6495</v>
      </c>
      <c r="B6498" s="10" t="s">
        <v>4840</v>
      </c>
      <c r="C6498" s="10" t="s">
        <v>4841</v>
      </c>
      <c r="D6498" s="10" t="s">
        <v>6266</v>
      </c>
      <c r="E6498" s="10" t="str">
        <f>"644020240517082921184634"</f>
        <v>644020240517082921184634</v>
      </c>
      <c r="F6498" s="9"/>
    </row>
    <row r="6499" s="2" customFormat="1" ht="30" customHeight="1" spans="1:6">
      <c r="A6499" s="9">
        <v>6496</v>
      </c>
      <c r="B6499" s="10" t="s">
        <v>4840</v>
      </c>
      <c r="C6499" s="10" t="s">
        <v>4841</v>
      </c>
      <c r="D6499" s="10" t="s">
        <v>6267</v>
      </c>
      <c r="E6499" s="10" t="str">
        <f>"644020240517081240184614"</f>
        <v>644020240517081240184614</v>
      </c>
      <c r="F6499" s="9"/>
    </row>
    <row r="6500" s="2" customFormat="1" ht="30" customHeight="1" spans="1:6">
      <c r="A6500" s="9">
        <v>6497</v>
      </c>
      <c r="B6500" s="10" t="s">
        <v>4840</v>
      </c>
      <c r="C6500" s="10" t="s">
        <v>4841</v>
      </c>
      <c r="D6500" s="10" t="s">
        <v>6268</v>
      </c>
      <c r="E6500" s="10" t="str">
        <f>"644020240517082734184631"</f>
        <v>644020240517082734184631</v>
      </c>
      <c r="F6500" s="9"/>
    </row>
    <row r="6501" s="2" customFormat="1" ht="30" customHeight="1" spans="1:6">
      <c r="A6501" s="9">
        <v>6498</v>
      </c>
      <c r="B6501" s="10" t="s">
        <v>4840</v>
      </c>
      <c r="C6501" s="10" t="s">
        <v>4841</v>
      </c>
      <c r="D6501" s="10" t="s">
        <v>6269</v>
      </c>
      <c r="E6501" s="10" t="str">
        <f>"644020240514223631180395"</f>
        <v>644020240514223631180395</v>
      </c>
      <c r="F6501" s="9"/>
    </row>
    <row r="6502" s="2" customFormat="1" ht="30" customHeight="1" spans="1:6">
      <c r="A6502" s="9">
        <v>6499</v>
      </c>
      <c r="B6502" s="10" t="s">
        <v>4840</v>
      </c>
      <c r="C6502" s="10" t="s">
        <v>4841</v>
      </c>
      <c r="D6502" s="10" t="s">
        <v>6270</v>
      </c>
      <c r="E6502" s="10" t="str">
        <f>"644020240516171803183810"</f>
        <v>644020240516171803183810</v>
      </c>
      <c r="F6502" s="9"/>
    </row>
    <row r="6503" s="2" customFormat="1" ht="30" customHeight="1" spans="1:6">
      <c r="A6503" s="9">
        <v>6500</v>
      </c>
      <c r="B6503" s="10" t="s">
        <v>4840</v>
      </c>
      <c r="C6503" s="10" t="s">
        <v>4841</v>
      </c>
      <c r="D6503" s="10" t="s">
        <v>6271</v>
      </c>
      <c r="E6503" s="10" t="str">
        <f>"644020240517084732184659"</f>
        <v>644020240517084732184659</v>
      </c>
      <c r="F6503" s="9"/>
    </row>
    <row r="6504" s="2" customFormat="1" ht="30" customHeight="1" spans="1:6">
      <c r="A6504" s="9">
        <v>6501</v>
      </c>
      <c r="B6504" s="10" t="s">
        <v>4840</v>
      </c>
      <c r="C6504" s="10" t="s">
        <v>4841</v>
      </c>
      <c r="D6504" s="10" t="s">
        <v>3552</v>
      </c>
      <c r="E6504" s="10" t="str">
        <f>"644020240515161311181816"</f>
        <v>644020240515161311181816</v>
      </c>
      <c r="F6504" s="9"/>
    </row>
    <row r="6505" s="2" customFormat="1" ht="30" customHeight="1" spans="1:6">
      <c r="A6505" s="9">
        <v>6502</v>
      </c>
      <c r="B6505" s="10" t="s">
        <v>4840</v>
      </c>
      <c r="C6505" s="10" t="s">
        <v>4841</v>
      </c>
      <c r="D6505" s="10" t="s">
        <v>6272</v>
      </c>
      <c r="E6505" s="10" t="str">
        <f>"644020240515154522181735"</f>
        <v>644020240515154522181735</v>
      </c>
      <c r="F6505" s="9"/>
    </row>
    <row r="6506" s="2" customFormat="1" ht="30" customHeight="1" spans="1:6">
      <c r="A6506" s="9">
        <v>6503</v>
      </c>
      <c r="B6506" s="10" t="s">
        <v>4840</v>
      </c>
      <c r="C6506" s="10" t="s">
        <v>4841</v>
      </c>
      <c r="D6506" s="10" t="s">
        <v>6273</v>
      </c>
      <c r="E6506" s="10" t="str">
        <f>"644020240513090643172557"</f>
        <v>644020240513090643172557</v>
      </c>
      <c r="F6506" s="9"/>
    </row>
    <row r="6507" s="2" customFormat="1" ht="30" customHeight="1" spans="1:6">
      <c r="A6507" s="9">
        <v>6504</v>
      </c>
      <c r="B6507" s="10" t="s">
        <v>4840</v>
      </c>
      <c r="C6507" s="10" t="s">
        <v>4841</v>
      </c>
      <c r="D6507" s="10" t="s">
        <v>6274</v>
      </c>
      <c r="E6507" s="10" t="str">
        <f>"644020240513181308176380"</f>
        <v>644020240513181308176380</v>
      </c>
      <c r="F6507" s="9"/>
    </row>
    <row r="6508" s="2" customFormat="1" ht="30" customHeight="1" spans="1:6">
      <c r="A6508" s="9">
        <v>6505</v>
      </c>
      <c r="B6508" s="10" t="s">
        <v>4840</v>
      </c>
      <c r="C6508" s="10" t="s">
        <v>4841</v>
      </c>
      <c r="D6508" s="10" t="s">
        <v>6275</v>
      </c>
      <c r="E6508" s="10" t="str">
        <f>"644020240517090422184696"</f>
        <v>644020240517090422184696</v>
      </c>
      <c r="F6508" s="9"/>
    </row>
    <row r="6509" s="2" customFormat="1" ht="30" customHeight="1" spans="1:6">
      <c r="A6509" s="9">
        <v>6506</v>
      </c>
      <c r="B6509" s="10" t="s">
        <v>4840</v>
      </c>
      <c r="C6509" s="10" t="s">
        <v>4841</v>
      </c>
      <c r="D6509" s="10" t="s">
        <v>5047</v>
      </c>
      <c r="E6509" s="10" t="str">
        <f>"644020240517090021184685"</f>
        <v>644020240517090021184685</v>
      </c>
      <c r="F6509" s="9"/>
    </row>
    <row r="6510" s="2" customFormat="1" ht="30" customHeight="1" spans="1:6">
      <c r="A6510" s="9">
        <v>6507</v>
      </c>
      <c r="B6510" s="10" t="s">
        <v>4840</v>
      </c>
      <c r="C6510" s="10" t="s">
        <v>4841</v>
      </c>
      <c r="D6510" s="10" t="s">
        <v>1510</v>
      </c>
      <c r="E6510" s="10" t="str">
        <f>"644020240517084807184661"</f>
        <v>644020240517084807184661</v>
      </c>
      <c r="F6510" s="9"/>
    </row>
    <row r="6511" s="2" customFormat="1" ht="30" customHeight="1" spans="1:6">
      <c r="A6511" s="9">
        <v>6508</v>
      </c>
      <c r="B6511" s="10" t="s">
        <v>4840</v>
      </c>
      <c r="C6511" s="10" t="s">
        <v>4841</v>
      </c>
      <c r="D6511" s="10" t="s">
        <v>6276</v>
      </c>
      <c r="E6511" s="10" t="str">
        <f>"644020240517084819184662"</f>
        <v>644020240517084819184662</v>
      </c>
      <c r="F6511" s="9"/>
    </row>
    <row r="6512" s="2" customFormat="1" ht="30" customHeight="1" spans="1:6">
      <c r="A6512" s="9">
        <v>6509</v>
      </c>
      <c r="B6512" s="10" t="s">
        <v>4840</v>
      </c>
      <c r="C6512" s="10" t="s">
        <v>4841</v>
      </c>
      <c r="D6512" s="10" t="s">
        <v>6277</v>
      </c>
      <c r="E6512" s="10" t="str">
        <f>"644020240516082640182767"</f>
        <v>644020240516082640182767</v>
      </c>
      <c r="F6512" s="9"/>
    </row>
    <row r="6513" s="2" customFormat="1" ht="30" customHeight="1" spans="1:6">
      <c r="A6513" s="9">
        <v>6510</v>
      </c>
      <c r="B6513" s="10" t="s">
        <v>4840</v>
      </c>
      <c r="C6513" s="10" t="s">
        <v>4841</v>
      </c>
      <c r="D6513" s="10" t="s">
        <v>240</v>
      </c>
      <c r="E6513" s="10" t="str">
        <f>"644020240517091143184711"</f>
        <v>644020240517091143184711</v>
      </c>
      <c r="F6513" s="9"/>
    </row>
    <row r="6514" s="2" customFormat="1" ht="30" customHeight="1" spans="1:6">
      <c r="A6514" s="9">
        <v>6511</v>
      </c>
      <c r="B6514" s="10" t="s">
        <v>4840</v>
      </c>
      <c r="C6514" s="10" t="s">
        <v>4841</v>
      </c>
      <c r="D6514" s="10" t="s">
        <v>6278</v>
      </c>
      <c r="E6514" s="10" t="str">
        <f>"644020240517080919184608"</f>
        <v>644020240517080919184608</v>
      </c>
      <c r="F6514" s="9"/>
    </row>
    <row r="6515" s="2" customFormat="1" ht="30" customHeight="1" spans="1:6">
      <c r="A6515" s="9">
        <v>6512</v>
      </c>
      <c r="B6515" s="10" t="s">
        <v>4840</v>
      </c>
      <c r="C6515" s="10" t="s">
        <v>4841</v>
      </c>
      <c r="D6515" s="10" t="s">
        <v>5005</v>
      </c>
      <c r="E6515" s="10" t="str">
        <f>"644020240513102529173366"</f>
        <v>644020240513102529173366</v>
      </c>
      <c r="F6515" s="9"/>
    </row>
    <row r="6516" s="2" customFormat="1" ht="30" customHeight="1" spans="1:6">
      <c r="A6516" s="9">
        <v>6513</v>
      </c>
      <c r="B6516" s="10" t="s">
        <v>4840</v>
      </c>
      <c r="C6516" s="10" t="s">
        <v>4841</v>
      </c>
      <c r="D6516" s="10" t="s">
        <v>6279</v>
      </c>
      <c r="E6516" s="10" t="str">
        <f>"644020240517091636184717"</f>
        <v>644020240517091636184717</v>
      </c>
      <c r="F6516" s="9"/>
    </row>
    <row r="6517" s="2" customFormat="1" ht="30" customHeight="1" spans="1:6">
      <c r="A6517" s="9">
        <v>6514</v>
      </c>
      <c r="B6517" s="10" t="s">
        <v>4840</v>
      </c>
      <c r="C6517" s="10" t="s">
        <v>4841</v>
      </c>
      <c r="D6517" s="10" t="s">
        <v>6280</v>
      </c>
      <c r="E6517" s="10" t="str">
        <f>"644020240516203937184088"</f>
        <v>644020240516203937184088</v>
      </c>
      <c r="F6517" s="9"/>
    </row>
    <row r="6518" s="2" customFormat="1" ht="30" customHeight="1" spans="1:6">
      <c r="A6518" s="9">
        <v>6515</v>
      </c>
      <c r="B6518" s="10" t="s">
        <v>4840</v>
      </c>
      <c r="C6518" s="10" t="s">
        <v>4841</v>
      </c>
      <c r="D6518" s="10" t="s">
        <v>6281</v>
      </c>
      <c r="E6518" s="10" t="str">
        <f>"644020240516221106184246"</f>
        <v>644020240516221106184246</v>
      </c>
      <c r="F6518" s="9"/>
    </row>
    <row r="6519" s="2" customFormat="1" ht="30" customHeight="1" spans="1:6">
      <c r="A6519" s="9">
        <v>6516</v>
      </c>
      <c r="B6519" s="10" t="s">
        <v>4840</v>
      </c>
      <c r="C6519" s="10" t="s">
        <v>4841</v>
      </c>
      <c r="D6519" s="10" t="s">
        <v>6282</v>
      </c>
      <c r="E6519" s="10" t="str">
        <f>"644020240517073100184577"</f>
        <v>644020240517073100184577</v>
      </c>
      <c r="F6519" s="9"/>
    </row>
    <row r="6520" s="2" customFormat="1" ht="30" customHeight="1" spans="1:6">
      <c r="A6520" s="9">
        <v>6517</v>
      </c>
      <c r="B6520" s="10" t="s">
        <v>4840</v>
      </c>
      <c r="C6520" s="10" t="s">
        <v>4841</v>
      </c>
      <c r="D6520" s="10" t="s">
        <v>6283</v>
      </c>
      <c r="E6520" s="10" t="str">
        <f>"644020240517085259184672"</f>
        <v>644020240517085259184672</v>
      </c>
      <c r="F6520" s="9"/>
    </row>
    <row r="6521" s="2" customFormat="1" ht="30" customHeight="1" spans="1:6">
      <c r="A6521" s="9">
        <v>6518</v>
      </c>
      <c r="B6521" s="10" t="s">
        <v>4840</v>
      </c>
      <c r="C6521" s="10" t="s">
        <v>4841</v>
      </c>
      <c r="D6521" s="10" t="s">
        <v>6284</v>
      </c>
      <c r="E6521" s="10" t="str">
        <f>"644020240515233655182588"</f>
        <v>644020240515233655182588</v>
      </c>
      <c r="F6521" s="9"/>
    </row>
    <row r="6522" s="2" customFormat="1" ht="30" customHeight="1" spans="1:6">
      <c r="A6522" s="9">
        <v>6519</v>
      </c>
      <c r="B6522" s="10" t="s">
        <v>4840</v>
      </c>
      <c r="C6522" s="10" t="s">
        <v>4841</v>
      </c>
      <c r="D6522" s="10" t="s">
        <v>6285</v>
      </c>
      <c r="E6522" s="10" t="str">
        <f>"644020240517094633184779"</f>
        <v>644020240517094633184779</v>
      </c>
      <c r="F6522" s="9"/>
    </row>
    <row r="6523" s="2" customFormat="1" ht="30" customHeight="1" spans="1:6">
      <c r="A6523" s="9">
        <v>6520</v>
      </c>
      <c r="B6523" s="10" t="s">
        <v>4840</v>
      </c>
      <c r="C6523" s="10" t="s">
        <v>4841</v>
      </c>
      <c r="D6523" s="10" t="s">
        <v>6286</v>
      </c>
      <c r="E6523" s="10" t="str">
        <f>"644020240516223217184298"</f>
        <v>644020240516223217184298</v>
      </c>
      <c r="F6523" s="9"/>
    </row>
    <row r="6524" s="2" customFormat="1" ht="30" customHeight="1" spans="1:6">
      <c r="A6524" s="9">
        <v>6521</v>
      </c>
      <c r="B6524" s="10" t="s">
        <v>4840</v>
      </c>
      <c r="C6524" s="10" t="s">
        <v>4841</v>
      </c>
      <c r="D6524" s="10" t="s">
        <v>6287</v>
      </c>
      <c r="E6524" s="10" t="str">
        <f>"644020240517091834184722"</f>
        <v>644020240517091834184722</v>
      </c>
      <c r="F6524" s="9"/>
    </row>
    <row r="6525" s="2" customFormat="1" ht="30" customHeight="1" spans="1:6">
      <c r="A6525" s="9">
        <v>6522</v>
      </c>
      <c r="B6525" s="10" t="s">
        <v>4840</v>
      </c>
      <c r="C6525" s="10" t="s">
        <v>4841</v>
      </c>
      <c r="D6525" s="10" t="s">
        <v>6288</v>
      </c>
      <c r="E6525" s="10" t="str">
        <f>"644020240516193737184026"</f>
        <v>644020240516193737184026</v>
      </c>
      <c r="F6525" s="9"/>
    </row>
    <row r="6526" s="2" customFormat="1" ht="30" customHeight="1" spans="1:6">
      <c r="A6526" s="9">
        <v>6523</v>
      </c>
      <c r="B6526" s="10" t="s">
        <v>4840</v>
      </c>
      <c r="C6526" s="10" t="s">
        <v>4841</v>
      </c>
      <c r="D6526" s="10" t="s">
        <v>6289</v>
      </c>
      <c r="E6526" s="10" t="str">
        <f>"644020240517101327184843"</f>
        <v>644020240517101327184843</v>
      </c>
      <c r="F6526" s="9"/>
    </row>
    <row r="6527" s="2" customFormat="1" ht="30" customHeight="1" spans="1:6">
      <c r="A6527" s="9">
        <v>6524</v>
      </c>
      <c r="B6527" s="10" t="s">
        <v>4840</v>
      </c>
      <c r="C6527" s="10" t="s">
        <v>4841</v>
      </c>
      <c r="D6527" s="10" t="s">
        <v>6290</v>
      </c>
      <c r="E6527" s="10" t="str">
        <f>"644020240514102107178378"</f>
        <v>644020240514102107178378</v>
      </c>
      <c r="F6527" s="9"/>
    </row>
    <row r="6528" s="2" customFormat="1" ht="30" customHeight="1" spans="1:6">
      <c r="A6528" s="9">
        <v>6525</v>
      </c>
      <c r="B6528" s="10" t="s">
        <v>4840</v>
      </c>
      <c r="C6528" s="10" t="s">
        <v>4841</v>
      </c>
      <c r="D6528" s="10" t="s">
        <v>6291</v>
      </c>
      <c r="E6528" s="10" t="str">
        <f>"644020240517095119184788"</f>
        <v>644020240517095119184788</v>
      </c>
      <c r="F6528" s="9"/>
    </row>
    <row r="6529" s="2" customFormat="1" ht="30" customHeight="1" spans="1:6">
      <c r="A6529" s="9">
        <v>6526</v>
      </c>
      <c r="B6529" s="10" t="s">
        <v>4840</v>
      </c>
      <c r="C6529" s="10" t="s">
        <v>4841</v>
      </c>
      <c r="D6529" s="10" t="s">
        <v>6292</v>
      </c>
      <c r="E6529" s="10" t="str">
        <f>"644020240517100110184815"</f>
        <v>644020240517100110184815</v>
      </c>
      <c r="F6529" s="9"/>
    </row>
    <row r="6530" s="2" customFormat="1" ht="30" customHeight="1" spans="1:6">
      <c r="A6530" s="9">
        <v>6527</v>
      </c>
      <c r="B6530" s="10" t="s">
        <v>4840</v>
      </c>
      <c r="C6530" s="10" t="s">
        <v>4841</v>
      </c>
      <c r="D6530" s="10" t="s">
        <v>6293</v>
      </c>
      <c r="E6530" s="10" t="str">
        <f>"644020240516122450183273"</f>
        <v>644020240516122450183273</v>
      </c>
      <c r="F6530" s="9"/>
    </row>
    <row r="6531" s="2" customFormat="1" ht="30" customHeight="1" spans="1:6">
      <c r="A6531" s="9">
        <v>6528</v>
      </c>
      <c r="B6531" s="10" t="s">
        <v>4840</v>
      </c>
      <c r="C6531" s="10" t="s">
        <v>4841</v>
      </c>
      <c r="D6531" s="10" t="s">
        <v>6294</v>
      </c>
      <c r="E6531" s="10" t="str">
        <f>"644020240517095543184800"</f>
        <v>644020240517095543184800</v>
      </c>
      <c r="F6531" s="9"/>
    </row>
    <row r="6532" s="2" customFormat="1" ht="30" customHeight="1" spans="1:6">
      <c r="A6532" s="9">
        <v>6529</v>
      </c>
      <c r="B6532" s="10" t="s">
        <v>4840</v>
      </c>
      <c r="C6532" s="10" t="s">
        <v>4841</v>
      </c>
      <c r="D6532" s="10" t="s">
        <v>6295</v>
      </c>
      <c r="E6532" s="10" t="str">
        <f>"644020240517103318184885"</f>
        <v>644020240517103318184885</v>
      </c>
      <c r="F6532" s="9"/>
    </row>
    <row r="6533" s="2" customFormat="1" ht="30" customHeight="1" spans="1:6">
      <c r="A6533" s="9">
        <v>6530</v>
      </c>
      <c r="B6533" s="10" t="s">
        <v>4840</v>
      </c>
      <c r="C6533" s="10" t="s">
        <v>4841</v>
      </c>
      <c r="D6533" s="10" t="s">
        <v>6296</v>
      </c>
      <c r="E6533" s="10" t="str">
        <f>"644020240517103039184879"</f>
        <v>644020240517103039184879</v>
      </c>
      <c r="F6533" s="9"/>
    </row>
    <row r="6534" s="2" customFormat="1" ht="30" customHeight="1" spans="1:6">
      <c r="A6534" s="9">
        <v>6531</v>
      </c>
      <c r="B6534" s="10" t="s">
        <v>4840</v>
      </c>
      <c r="C6534" s="10" t="s">
        <v>4841</v>
      </c>
      <c r="D6534" s="10" t="s">
        <v>6297</v>
      </c>
      <c r="E6534" s="10" t="str">
        <f>"644020240516112535183168"</f>
        <v>644020240516112535183168</v>
      </c>
      <c r="F6534" s="9"/>
    </row>
    <row r="6535" s="2" customFormat="1" ht="30" customHeight="1" spans="1:6">
      <c r="A6535" s="9">
        <v>6532</v>
      </c>
      <c r="B6535" s="10" t="s">
        <v>4840</v>
      </c>
      <c r="C6535" s="10" t="s">
        <v>4841</v>
      </c>
      <c r="D6535" s="10" t="s">
        <v>6298</v>
      </c>
      <c r="E6535" s="10" t="str">
        <f>"644020240517103044184880"</f>
        <v>644020240517103044184880</v>
      </c>
      <c r="F6535" s="9"/>
    </row>
    <row r="6536" s="2" customFormat="1" ht="30" customHeight="1" spans="1:6">
      <c r="A6536" s="9">
        <v>6533</v>
      </c>
      <c r="B6536" s="10" t="s">
        <v>4840</v>
      </c>
      <c r="C6536" s="10" t="s">
        <v>4841</v>
      </c>
      <c r="D6536" s="10" t="s">
        <v>6299</v>
      </c>
      <c r="E6536" s="10" t="str">
        <f>"644020240517103942184904"</f>
        <v>644020240517103942184904</v>
      </c>
      <c r="F6536" s="9"/>
    </row>
    <row r="6537" s="2" customFormat="1" ht="30" customHeight="1" spans="1:6">
      <c r="A6537" s="9">
        <v>6534</v>
      </c>
      <c r="B6537" s="10" t="s">
        <v>4840</v>
      </c>
      <c r="C6537" s="10" t="s">
        <v>4841</v>
      </c>
      <c r="D6537" s="10" t="s">
        <v>6300</v>
      </c>
      <c r="E6537" s="10" t="str">
        <f>"644020240517104640184919"</f>
        <v>644020240517104640184919</v>
      </c>
      <c r="F6537" s="9"/>
    </row>
    <row r="6538" s="2" customFormat="1" ht="30" customHeight="1" spans="1:6">
      <c r="A6538" s="9">
        <v>6535</v>
      </c>
      <c r="B6538" s="10" t="s">
        <v>4840</v>
      </c>
      <c r="C6538" s="10" t="s">
        <v>4841</v>
      </c>
      <c r="D6538" s="10" t="s">
        <v>6301</v>
      </c>
      <c r="E6538" s="10" t="str">
        <f>"644020240517104219184910"</f>
        <v>644020240517104219184910</v>
      </c>
      <c r="F6538" s="9"/>
    </row>
    <row r="6539" s="2" customFormat="1" ht="30" customHeight="1" spans="1:6">
      <c r="A6539" s="9">
        <v>6536</v>
      </c>
      <c r="B6539" s="10" t="s">
        <v>4840</v>
      </c>
      <c r="C6539" s="10" t="s">
        <v>4841</v>
      </c>
      <c r="D6539" s="10" t="s">
        <v>6302</v>
      </c>
      <c r="E6539" s="10" t="str">
        <f>"644020240517104542184918"</f>
        <v>644020240517104542184918</v>
      </c>
      <c r="F6539" s="9"/>
    </row>
    <row r="6540" s="2" customFormat="1" ht="30" customHeight="1" spans="1:6">
      <c r="A6540" s="9">
        <v>6537</v>
      </c>
      <c r="B6540" s="10" t="s">
        <v>4840</v>
      </c>
      <c r="C6540" s="10" t="s">
        <v>4841</v>
      </c>
      <c r="D6540" s="10" t="s">
        <v>6303</v>
      </c>
      <c r="E6540" s="10" t="str">
        <f>"644020240517103722184895"</f>
        <v>644020240517103722184895</v>
      </c>
      <c r="F6540" s="9"/>
    </row>
    <row r="6541" s="2" customFormat="1" ht="30" customHeight="1" spans="1:6">
      <c r="A6541" s="9">
        <v>6538</v>
      </c>
      <c r="B6541" s="10" t="s">
        <v>4840</v>
      </c>
      <c r="C6541" s="10" t="s">
        <v>4841</v>
      </c>
      <c r="D6541" s="10" t="s">
        <v>6304</v>
      </c>
      <c r="E6541" s="10" t="str">
        <f>"644020240517094520184774"</f>
        <v>644020240517094520184774</v>
      </c>
      <c r="F6541" s="9"/>
    </row>
    <row r="6542" s="2" customFormat="1" ht="30" customHeight="1" spans="1:6">
      <c r="A6542" s="9">
        <v>6539</v>
      </c>
      <c r="B6542" s="10" t="s">
        <v>4840</v>
      </c>
      <c r="C6542" s="10" t="s">
        <v>4841</v>
      </c>
      <c r="D6542" s="10" t="s">
        <v>6305</v>
      </c>
      <c r="E6542" s="10" t="str">
        <f>"644020240517104726184923"</f>
        <v>644020240517104726184923</v>
      </c>
      <c r="F6542" s="9"/>
    </row>
    <row r="6543" s="2" customFormat="1" ht="30" customHeight="1" spans="1:6">
      <c r="A6543" s="9">
        <v>6540</v>
      </c>
      <c r="B6543" s="10" t="s">
        <v>4840</v>
      </c>
      <c r="C6543" s="10" t="s">
        <v>4841</v>
      </c>
      <c r="D6543" s="10" t="s">
        <v>6306</v>
      </c>
      <c r="E6543" s="10" t="str">
        <f>"644020240516171534183805"</f>
        <v>644020240516171534183805</v>
      </c>
      <c r="F6543" s="9"/>
    </row>
    <row r="6544" s="2" customFormat="1" ht="30" customHeight="1" spans="1:6">
      <c r="A6544" s="9">
        <v>6541</v>
      </c>
      <c r="B6544" s="10" t="s">
        <v>4840</v>
      </c>
      <c r="C6544" s="10" t="s">
        <v>4841</v>
      </c>
      <c r="D6544" s="10" t="s">
        <v>6307</v>
      </c>
      <c r="E6544" s="10" t="str">
        <f>"644020240514100607178300"</f>
        <v>644020240514100607178300</v>
      </c>
      <c r="F6544" s="9"/>
    </row>
    <row r="6545" s="2" customFormat="1" ht="30" customHeight="1" spans="1:6">
      <c r="A6545" s="9">
        <v>6542</v>
      </c>
      <c r="B6545" s="10" t="s">
        <v>4840</v>
      </c>
      <c r="C6545" s="10" t="s">
        <v>4841</v>
      </c>
      <c r="D6545" s="10" t="s">
        <v>6308</v>
      </c>
      <c r="E6545" s="10" t="str">
        <f>"644020240517093902184763"</f>
        <v>644020240517093902184763</v>
      </c>
      <c r="F6545" s="9"/>
    </row>
    <row r="6546" s="2" customFormat="1" ht="30" customHeight="1" spans="1:6">
      <c r="A6546" s="9">
        <v>6543</v>
      </c>
      <c r="B6546" s="10" t="s">
        <v>4840</v>
      </c>
      <c r="C6546" s="10" t="s">
        <v>4841</v>
      </c>
      <c r="D6546" s="10" t="s">
        <v>2659</v>
      </c>
      <c r="E6546" s="10" t="str">
        <f>"644020240517110217184956"</f>
        <v>644020240517110217184956</v>
      </c>
      <c r="F6546" s="9"/>
    </row>
    <row r="6547" s="2" customFormat="1" ht="30" customHeight="1" spans="1:6">
      <c r="A6547" s="9">
        <v>6544</v>
      </c>
      <c r="B6547" s="10" t="s">
        <v>4840</v>
      </c>
      <c r="C6547" s="10" t="s">
        <v>4841</v>
      </c>
      <c r="D6547" s="10" t="s">
        <v>6007</v>
      </c>
      <c r="E6547" s="10" t="str">
        <f>"644020240517095141184790"</f>
        <v>644020240517095141184790</v>
      </c>
      <c r="F6547" s="9"/>
    </row>
    <row r="6548" s="2" customFormat="1" ht="30" customHeight="1" spans="1:6">
      <c r="A6548" s="9">
        <v>6545</v>
      </c>
      <c r="B6548" s="10" t="s">
        <v>4840</v>
      </c>
      <c r="C6548" s="10" t="s">
        <v>4841</v>
      </c>
      <c r="D6548" s="10" t="s">
        <v>6309</v>
      </c>
      <c r="E6548" s="10" t="str">
        <f>"644020240517110200184955"</f>
        <v>644020240517110200184955</v>
      </c>
      <c r="F6548" s="9"/>
    </row>
    <row r="6549" s="2" customFormat="1" ht="30" customHeight="1" spans="1:6">
      <c r="A6549" s="9">
        <v>6546</v>
      </c>
      <c r="B6549" s="10" t="s">
        <v>4840</v>
      </c>
      <c r="C6549" s="10" t="s">
        <v>4841</v>
      </c>
      <c r="D6549" s="10" t="s">
        <v>3750</v>
      </c>
      <c r="E6549" s="10" t="str">
        <f>"644020240515115141181300"</f>
        <v>644020240515115141181300</v>
      </c>
      <c r="F6549" s="9"/>
    </row>
    <row r="6550" s="2" customFormat="1" ht="30" customHeight="1" spans="1:6">
      <c r="A6550" s="9">
        <v>6547</v>
      </c>
      <c r="B6550" s="10" t="s">
        <v>4840</v>
      </c>
      <c r="C6550" s="10" t="s">
        <v>4841</v>
      </c>
      <c r="D6550" s="10" t="s">
        <v>6310</v>
      </c>
      <c r="E6550" s="10" t="str">
        <f>"644020240515141119181528"</f>
        <v>644020240515141119181528</v>
      </c>
      <c r="F6550" s="9"/>
    </row>
    <row r="6551" s="2" customFormat="1" ht="30" customHeight="1" spans="1:6">
      <c r="A6551" s="9">
        <v>6548</v>
      </c>
      <c r="B6551" s="10" t="s">
        <v>4840</v>
      </c>
      <c r="C6551" s="10" t="s">
        <v>4841</v>
      </c>
      <c r="D6551" s="10" t="s">
        <v>5413</v>
      </c>
      <c r="E6551" s="10" t="str">
        <f>"644020240517103400184889"</f>
        <v>644020240517103400184889</v>
      </c>
      <c r="F6551" s="9"/>
    </row>
    <row r="6552" s="2" customFormat="1" ht="30" customHeight="1" spans="1:6">
      <c r="A6552" s="9">
        <v>6549</v>
      </c>
      <c r="B6552" s="10" t="s">
        <v>4840</v>
      </c>
      <c r="C6552" s="10" t="s">
        <v>4841</v>
      </c>
      <c r="D6552" s="10" t="s">
        <v>6311</v>
      </c>
      <c r="E6552" s="10" t="str">
        <f>"644020240517112250185002"</f>
        <v>644020240517112250185002</v>
      </c>
      <c r="F6552" s="9"/>
    </row>
    <row r="6553" s="2" customFormat="1" ht="30" customHeight="1" spans="1:6">
      <c r="A6553" s="9">
        <v>6550</v>
      </c>
      <c r="B6553" s="10" t="s">
        <v>4840</v>
      </c>
      <c r="C6553" s="10" t="s">
        <v>4841</v>
      </c>
      <c r="D6553" s="10" t="s">
        <v>6312</v>
      </c>
      <c r="E6553" s="10" t="str">
        <f>"644020240517104125184909"</f>
        <v>644020240517104125184909</v>
      </c>
      <c r="F6553" s="9"/>
    </row>
    <row r="6554" s="2" customFormat="1" ht="30" customHeight="1" spans="1:6">
      <c r="A6554" s="9">
        <v>6551</v>
      </c>
      <c r="B6554" s="10" t="s">
        <v>4840</v>
      </c>
      <c r="C6554" s="10" t="s">
        <v>4841</v>
      </c>
      <c r="D6554" s="10" t="s">
        <v>6313</v>
      </c>
      <c r="E6554" s="10" t="str">
        <f>"644020240516104414183041"</f>
        <v>644020240516104414183041</v>
      </c>
      <c r="F6554" s="9"/>
    </row>
    <row r="6555" s="2" customFormat="1" ht="30" customHeight="1" spans="1:6">
      <c r="A6555" s="9">
        <v>6552</v>
      </c>
      <c r="B6555" s="10" t="s">
        <v>4840</v>
      </c>
      <c r="C6555" s="10" t="s">
        <v>4841</v>
      </c>
      <c r="D6555" s="10" t="s">
        <v>6314</v>
      </c>
      <c r="E6555" s="10" t="str">
        <f>"644020240516181808183911"</f>
        <v>644020240516181808183911</v>
      </c>
      <c r="F6555" s="9"/>
    </row>
    <row r="6556" s="2" customFormat="1" ht="30" customHeight="1" spans="1:6">
      <c r="A6556" s="9">
        <v>6553</v>
      </c>
      <c r="B6556" s="10" t="s">
        <v>4840</v>
      </c>
      <c r="C6556" s="10" t="s">
        <v>4841</v>
      </c>
      <c r="D6556" s="10" t="s">
        <v>6315</v>
      </c>
      <c r="E6556" s="10" t="str">
        <f>"644020240517014402184540"</f>
        <v>644020240517014402184540</v>
      </c>
      <c r="F6556" s="9"/>
    </row>
    <row r="6557" s="2" customFormat="1" ht="30" customHeight="1" spans="1:6">
      <c r="A6557" s="9">
        <v>6554</v>
      </c>
      <c r="B6557" s="10" t="s">
        <v>4840</v>
      </c>
      <c r="C6557" s="10" t="s">
        <v>4841</v>
      </c>
      <c r="D6557" s="10" t="s">
        <v>6316</v>
      </c>
      <c r="E6557" s="10" t="str">
        <f>"644020240515165007181929"</f>
        <v>644020240515165007181929</v>
      </c>
      <c r="F6557" s="9"/>
    </row>
    <row r="6558" s="2" customFormat="1" ht="30" customHeight="1" spans="1:6">
      <c r="A6558" s="9">
        <v>6555</v>
      </c>
      <c r="B6558" s="10" t="s">
        <v>4840</v>
      </c>
      <c r="C6558" s="10" t="s">
        <v>4841</v>
      </c>
      <c r="D6558" s="10" t="s">
        <v>6317</v>
      </c>
      <c r="E6558" s="10" t="str">
        <f>"644020240517110551184963"</f>
        <v>644020240517110551184963</v>
      </c>
      <c r="F6558" s="9"/>
    </row>
    <row r="6559" s="2" customFormat="1" ht="30" customHeight="1" spans="1:6">
      <c r="A6559" s="9">
        <v>6556</v>
      </c>
      <c r="B6559" s="10" t="s">
        <v>4840</v>
      </c>
      <c r="C6559" s="10" t="s">
        <v>4841</v>
      </c>
      <c r="D6559" s="10" t="s">
        <v>6318</v>
      </c>
      <c r="E6559" s="10" t="str">
        <f>"644020240513193404176633"</f>
        <v>644020240513193404176633</v>
      </c>
      <c r="F6559" s="9"/>
    </row>
    <row r="6560" s="2" customFormat="1" ht="30" customHeight="1" spans="1:6">
      <c r="A6560" s="9">
        <v>6557</v>
      </c>
      <c r="B6560" s="10" t="s">
        <v>4840</v>
      </c>
      <c r="C6560" s="10" t="s">
        <v>4841</v>
      </c>
      <c r="D6560" s="10" t="s">
        <v>6319</v>
      </c>
      <c r="E6560" s="10" t="str">
        <f>"644020240517103037184878"</f>
        <v>644020240517103037184878</v>
      </c>
      <c r="F6560" s="9"/>
    </row>
    <row r="6561" s="2" customFormat="1" ht="30" customHeight="1" spans="1:6">
      <c r="A6561" s="9">
        <v>6558</v>
      </c>
      <c r="B6561" s="10" t="s">
        <v>4840</v>
      </c>
      <c r="C6561" s="10" t="s">
        <v>4841</v>
      </c>
      <c r="D6561" s="10" t="s">
        <v>6320</v>
      </c>
      <c r="E6561" s="10" t="str">
        <f>"644020240517114759185057"</f>
        <v>644020240517114759185057</v>
      </c>
      <c r="F6561" s="9"/>
    </row>
    <row r="6562" s="2" customFormat="1" ht="30" customHeight="1" spans="1:6">
      <c r="A6562" s="9">
        <v>6559</v>
      </c>
      <c r="B6562" s="10" t="s">
        <v>4840</v>
      </c>
      <c r="C6562" s="10" t="s">
        <v>4841</v>
      </c>
      <c r="D6562" s="10" t="s">
        <v>6321</v>
      </c>
      <c r="E6562" s="10" t="str">
        <f>"644020240517114944185060"</f>
        <v>644020240517114944185060</v>
      </c>
      <c r="F6562" s="9"/>
    </row>
    <row r="6563" s="2" customFormat="1" ht="30" customHeight="1" spans="1:6">
      <c r="A6563" s="9">
        <v>6560</v>
      </c>
      <c r="B6563" s="10" t="s">
        <v>4840</v>
      </c>
      <c r="C6563" s="10" t="s">
        <v>4841</v>
      </c>
      <c r="D6563" s="10" t="s">
        <v>6322</v>
      </c>
      <c r="E6563" s="10" t="str">
        <f>"644020240517111232184977"</f>
        <v>644020240517111232184977</v>
      </c>
      <c r="F6563" s="9"/>
    </row>
    <row r="6564" s="2" customFormat="1" ht="30" customHeight="1" spans="1:6">
      <c r="A6564" s="9">
        <v>6561</v>
      </c>
      <c r="B6564" s="10" t="s">
        <v>4840</v>
      </c>
      <c r="C6564" s="10" t="s">
        <v>4841</v>
      </c>
      <c r="D6564" s="10" t="s">
        <v>6323</v>
      </c>
      <c r="E6564" s="10" t="str">
        <f>"644020240517095726184805"</f>
        <v>644020240517095726184805</v>
      </c>
      <c r="F6564" s="9"/>
    </row>
    <row r="6565" s="2" customFormat="1" ht="30" customHeight="1" spans="1:6">
      <c r="A6565" s="9">
        <v>6562</v>
      </c>
      <c r="B6565" s="10" t="s">
        <v>4840</v>
      </c>
      <c r="C6565" s="10" t="s">
        <v>4841</v>
      </c>
      <c r="D6565" s="10" t="s">
        <v>6324</v>
      </c>
      <c r="E6565" s="10" t="str">
        <f>"644020240516122010183260"</f>
        <v>644020240516122010183260</v>
      </c>
      <c r="F6565" s="9"/>
    </row>
    <row r="6566" s="2" customFormat="1" ht="30" customHeight="1" spans="1:6">
      <c r="A6566" s="9">
        <v>6563</v>
      </c>
      <c r="B6566" s="10" t="s">
        <v>4840</v>
      </c>
      <c r="C6566" s="10" t="s">
        <v>4841</v>
      </c>
      <c r="D6566" s="10" t="s">
        <v>6325</v>
      </c>
      <c r="E6566" s="10" t="str">
        <f>"644020240517115311185065"</f>
        <v>644020240517115311185065</v>
      </c>
      <c r="F6566" s="9"/>
    </row>
    <row r="6567" s="2" customFormat="1" ht="30" customHeight="1" spans="1:6">
      <c r="A6567" s="9">
        <v>6564</v>
      </c>
      <c r="B6567" s="10" t="s">
        <v>4840</v>
      </c>
      <c r="C6567" s="10" t="s">
        <v>4841</v>
      </c>
      <c r="D6567" s="10" t="s">
        <v>1245</v>
      </c>
      <c r="E6567" s="10" t="str">
        <f>"644020240517120643185089"</f>
        <v>644020240517120643185089</v>
      </c>
      <c r="F6567" s="9"/>
    </row>
    <row r="6568" s="2" customFormat="1" ht="30" customHeight="1" spans="1:6">
      <c r="A6568" s="9">
        <v>6565</v>
      </c>
      <c r="B6568" s="10" t="s">
        <v>4840</v>
      </c>
      <c r="C6568" s="10" t="s">
        <v>4841</v>
      </c>
      <c r="D6568" s="10" t="s">
        <v>6326</v>
      </c>
      <c r="E6568" s="10" t="str">
        <f>"644020240517120619185088"</f>
        <v>644020240517120619185088</v>
      </c>
      <c r="F6568" s="9"/>
    </row>
    <row r="6569" s="2" customFormat="1" ht="30" customHeight="1" spans="1:6">
      <c r="A6569" s="9">
        <v>6566</v>
      </c>
      <c r="B6569" s="10" t="s">
        <v>4840</v>
      </c>
      <c r="C6569" s="10" t="s">
        <v>4841</v>
      </c>
      <c r="D6569" s="10" t="s">
        <v>6327</v>
      </c>
      <c r="E6569" s="10" t="str">
        <f>"644020240517120351185084"</f>
        <v>644020240517120351185084</v>
      </c>
      <c r="F6569" s="9"/>
    </row>
    <row r="6570" s="2" customFormat="1" ht="30" customHeight="1" spans="1:6">
      <c r="A6570" s="9">
        <v>6567</v>
      </c>
      <c r="B6570" s="10" t="s">
        <v>4840</v>
      </c>
      <c r="C6570" s="10" t="s">
        <v>4841</v>
      </c>
      <c r="D6570" s="10" t="s">
        <v>6328</v>
      </c>
      <c r="E6570" s="10" t="str">
        <f>"644020240517103555184892"</f>
        <v>644020240517103555184892</v>
      </c>
      <c r="F6570" s="9"/>
    </row>
    <row r="6571" s="2" customFormat="1" ht="30" customHeight="1" spans="1:6">
      <c r="A6571" s="9">
        <v>6568</v>
      </c>
      <c r="B6571" s="10" t="s">
        <v>4840</v>
      </c>
      <c r="C6571" s="10" t="s">
        <v>4841</v>
      </c>
      <c r="D6571" s="10" t="s">
        <v>6329</v>
      </c>
      <c r="E6571" s="10" t="str">
        <f>"644020240517082921184633"</f>
        <v>644020240517082921184633</v>
      </c>
      <c r="F6571" s="9"/>
    </row>
    <row r="6572" s="2" customFormat="1" ht="30" customHeight="1" spans="1:6">
      <c r="A6572" s="9">
        <v>6569</v>
      </c>
      <c r="B6572" s="10" t="s">
        <v>4840</v>
      </c>
      <c r="C6572" s="10" t="s">
        <v>4841</v>
      </c>
      <c r="D6572" s="10" t="s">
        <v>6330</v>
      </c>
      <c r="E6572" s="10" t="str">
        <f>"644020240517095758184808"</f>
        <v>644020240517095758184808</v>
      </c>
      <c r="F6572" s="9"/>
    </row>
    <row r="6573" s="2" customFormat="1" ht="30" customHeight="1" spans="1:6">
      <c r="A6573" s="9">
        <v>6570</v>
      </c>
      <c r="B6573" s="10" t="s">
        <v>4840</v>
      </c>
      <c r="C6573" s="10" t="s">
        <v>4841</v>
      </c>
      <c r="D6573" s="10" t="s">
        <v>6331</v>
      </c>
      <c r="E6573" s="10" t="str">
        <f>"644020240517112657185017"</f>
        <v>644020240517112657185017</v>
      </c>
      <c r="F6573" s="9"/>
    </row>
    <row r="6574" s="2" customFormat="1" ht="30" customHeight="1" spans="1:6">
      <c r="A6574" s="9">
        <v>6571</v>
      </c>
      <c r="B6574" s="10" t="s">
        <v>4840</v>
      </c>
      <c r="C6574" s="10" t="s">
        <v>4841</v>
      </c>
      <c r="D6574" s="10" t="s">
        <v>6332</v>
      </c>
      <c r="E6574" s="10" t="str">
        <f>"644020240513172759176223"</f>
        <v>644020240513172759176223</v>
      </c>
      <c r="F6574" s="9"/>
    </row>
    <row r="6575" s="2" customFormat="1" ht="30" customHeight="1" spans="1:6">
      <c r="A6575" s="9">
        <v>6572</v>
      </c>
      <c r="B6575" s="10" t="s">
        <v>4840</v>
      </c>
      <c r="C6575" s="10" t="s">
        <v>4841</v>
      </c>
      <c r="D6575" s="10" t="s">
        <v>6333</v>
      </c>
      <c r="E6575" s="10" t="str">
        <f>"644020240517121942185109"</f>
        <v>644020240517121942185109</v>
      </c>
      <c r="F6575" s="9"/>
    </row>
    <row r="6576" s="2" customFormat="1" ht="30" customHeight="1" spans="1:6">
      <c r="A6576" s="9">
        <v>6573</v>
      </c>
      <c r="B6576" s="10" t="s">
        <v>4840</v>
      </c>
      <c r="C6576" s="10" t="s">
        <v>4841</v>
      </c>
      <c r="D6576" s="10" t="s">
        <v>6334</v>
      </c>
      <c r="E6576" s="10" t="str">
        <f>"644020240517123223185137"</f>
        <v>644020240517123223185137</v>
      </c>
      <c r="F6576" s="9"/>
    </row>
    <row r="6577" s="2" customFormat="1" ht="30" customHeight="1" spans="1:6">
      <c r="A6577" s="9">
        <v>6574</v>
      </c>
      <c r="B6577" s="10" t="s">
        <v>4840</v>
      </c>
      <c r="C6577" s="10" t="s">
        <v>4841</v>
      </c>
      <c r="D6577" s="10" t="s">
        <v>6335</v>
      </c>
      <c r="E6577" s="10" t="str">
        <f>"644020240517124017185152"</f>
        <v>644020240517124017185152</v>
      </c>
      <c r="F6577" s="9"/>
    </row>
    <row r="6578" s="2" customFormat="1" ht="30" customHeight="1" spans="1:6">
      <c r="A6578" s="9">
        <v>6575</v>
      </c>
      <c r="B6578" s="10" t="s">
        <v>4840</v>
      </c>
      <c r="C6578" s="10" t="s">
        <v>4841</v>
      </c>
      <c r="D6578" s="10" t="s">
        <v>6336</v>
      </c>
      <c r="E6578" s="10" t="str">
        <f>"644020240514233857180535"</f>
        <v>644020240514233857180535</v>
      </c>
      <c r="F6578" s="9"/>
    </row>
    <row r="6579" s="2" customFormat="1" ht="30" customHeight="1" spans="1:6">
      <c r="A6579" s="9">
        <v>6576</v>
      </c>
      <c r="B6579" s="10" t="s">
        <v>4840</v>
      </c>
      <c r="C6579" s="10" t="s">
        <v>4841</v>
      </c>
      <c r="D6579" s="10" t="s">
        <v>6337</v>
      </c>
      <c r="E6579" s="10" t="str">
        <f>"644020240516094633182913"</f>
        <v>644020240516094633182913</v>
      </c>
      <c r="F6579" s="9"/>
    </row>
    <row r="6580" s="2" customFormat="1" ht="30" customHeight="1" spans="1:6">
      <c r="A6580" s="9">
        <v>6577</v>
      </c>
      <c r="B6580" s="10" t="s">
        <v>4840</v>
      </c>
      <c r="C6580" s="10" t="s">
        <v>4841</v>
      </c>
      <c r="D6580" s="10" t="s">
        <v>6338</v>
      </c>
      <c r="E6580" s="10" t="str">
        <f>"644020240516191612183998"</f>
        <v>644020240516191612183998</v>
      </c>
      <c r="F6580" s="9"/>
    </row>
    <row r="6581" s="2" customFormat="1" ht="30" customHeight="1" spans="1:6">
      <c r="A6581" s="9">
        <v>6578</v>
      </c>
      <c r="B6581" s="10" t="s">
        <v>4840</v>
      </c>
      <c r="C6581" s="10" t="s">
        <v>4841</v>
      </c>
      <c r="D6581" s="10" t="s">
        <v>6339</v>
      </c>
      <c r="E6581" s="10" t="str">
        <f>"644020240517095757184806"</f>
        <v>644020240517095757184806</v>
      </c>
      <c r="F6581" s="9"/>
    </row>
    <row r="6582" s="2" customFormat="1" ht="30" customHeight="1" spans="1:6">
      <c r="A6582" s="9">
        <v>6579</v>
      </c>
      <c r="B6582" s="10" t="s">
        <v>4840</v>
      </c>
      <c r="C6582" s="10" t="s">
        <v>4841</v>
      </c>
      <c r="D6582" s="10" t="s">
        <v>6340</v>
      </c>
      <c r="E6582" s="10" t="str">
        <f>"644020240513000641171944"</f>
        <v>644020240513000641171944</v>
      </c>
      <c r="F6582" s="9"/>
    </row>
    <row r="6583" s="2" customFormat="1" ht="30" customHeight="1" spans="1:6">
      <c r="A6583" s="9">
        <v>6580</v>
      </c>
      <c r="B6583" s="10" t="s">
        <v>4840</v>
      </c>
      <c r="C6583" s="10" t="s">
        <v>4841</v>
      </c>
      <c r="D6583" s="10" t="s">
        <v>6341</v>
      </c>
      <c r="E6583" s="10" t="str">
        <f>"644020240516224321184321"</f>
        <v>644020240516224321184321</v>
      </c>
      <c r="F6583" s="9"/>
    </row>
    <row r="6584" s="2" customFormat="1" ht="30" customHeight="1" spans="1:6">
      <c r="A6584" s="9">
        <v>6581</v>
      </c>
      <c r="B6584" s="10" t="s">
        <v>4840</v>
      </c>
      <c r="C6584" s="10" t="s">
        <v>4841</v>
      </c>
      <c r="D6584" s="10" t="s">
        <v>6342</v>
      </c>
      <c r="E6584" s="10" t="str">
        <f>"644020240512151907169724"</f>
        <v>644020240512151907169724</v>
      </c>
      <c r="F6584" s="9"/>
    </row>
    <row r="6585" s="2" customFormat="1" ht="30" customHeight="1" spans="1:6">
      <c r="A6585" s="9">
        <v>6582</v>
      </c>
      <c r="B6585" s="10" t="s">
        <v>4840</v>
      </c>
      <c r="C6585" s="10" t="s">
        <v>4841</v>
      </c>
      <c r="D6585" s="10" t="s">
        <v>6343</v>
      </c>
      <c r="E6585" s="10" t="str">
        <f>"644020240515141427181534"</f>
        <v>644020240515141427181534</v>
      </c>
      <c r="F6585" s="9"/>
    </row>
    <row r="6586" s="2" customFormat="1" ht="30" customHeight="1" spans="1:6">
      <c r="A6586" s="9">
        <v>6583</v>
      </c>
      <c r="B6586" s="10" t="s">
        <v>4840</v>
      </c>
      <c r="C6586" s="10" t="s">
        <v>4841</v>
      </c>
      <c r="D6586" s="10" t="s">
        <v>6344</v>
      </c>
      <c r="E6586" s="10" t="str">
        <f>"644020240517125030185173"</f>
        <v>644020240517125030185173</v>
      </c>
      <c r="F6586" s="9"/>
    </row>
    <row r="6587" s="2" customFormat="1" ht="30" customHeight="1" spans="1:6">
      <c r="A6587" s="9">
        <v>6584</v>
      </c>
      <c r="B6587" s="10" t="s">
        <v>4840</v>
      </c>
      <c r="C6587" s="10" t="s">
        <v>4841</v>
      </c>
      <c r="D6587" s="10" t="s">
        <v>6345</v>
      </c>
      <c r="E6587" s="10" t="str">
        <f>"644020240516223419184303"</f>
        <v>644020240516223419184303</v>
      </c>
      <c r="F6587" s="9"/>
    </row>
    <row r="6588" s="2" customFormat="1" ht="30" customHeight="1" spans="1:6">
      <c r="A6588" s="9">
        <v>6585</v>
      </c>
      <c r="B6588" s="10" t="s">
        <v>4840</v>
      </c>
      <c r="C6588" s="10" t="s">
        <v>4841</v>
      </c>
      <c r="D6588" s="10" t="s">
        <v>6346</v>
      </c>
      <c r="E6588" s="10" t="str">
        <f>"644020240517130546185215"</f>
        <v>644020240517130546185215</v>
      </c>
      <c r="F6588" s="9"/>
    </row>
    <row r="6589" s="2" customFormat="1" ht="30" customHeight="1" spans="1:6">
      <c r="A6589" s="9">
        <v>6586</v>
      </c>
      <c r="B6589" s="10" t="s">
        <v>4840</v>
      </c>
      <c r="C6589" s="10" t="s">
        <v>4841</v>
      </c>
      <c r="D6589" s="10" t="s">
        <v>6347</v>
      </c>
      <c r="E6589" s="10" t="str">
        <f>"644020240517130636185217"</f>
        <v>644020240517130636185217</v>
      </c>
      <c r="F6589" s="9"/>
    </row>
    <row r="6590" s="2" customFormat="1" ht="30" customHeight="1" spans="1:6">
      <c r="A6590" s="9">
        <v>6587</v>
      </c>
      <c r="B6590" s="10" t="s">
        <v>4840</v>
      </c>
      <c r="C6590" s="10" t="s">
        <v>4841</v>
      </c>
      <c r="D6590" s="10" t="s">
        <v>6348</v>
      </c>
      <c r="E6590" s="10" t="str">
        <f>"644020240512224555171588"</f>
        <v>644020240512224555171588</v>
      </c>
      <c r="F6590" s="9"/>
    </row>
    <row r="6591" s="2" customFormat="1" ht="30" customHeight="1" spans="1:6">
      <c r="A6591" s="9">
        <v>6588</v>
      </c>
      <c r="B6591" s="10" t="s">
        <v>4840</v>
      </c>
      <c r="C6591" s="10" t="s">
        <v>4841</v>
      </c>
      <c r="D6591" s="10" t="s">
        <v>6349</v>
      </c>
      <c r="E6591" s="10" t="str">
        <f>"644020240514110436178619"</f>
        <v>644020240514110436178619</v>
      </c>
      <c r="F6591" s="9"/>
    </row>
    <row r="6592" s="2" customFormat="1" ht="30" customHeight="1" spans="1:6">
      <c r="A6592" s="9">
        <v>6589</v>
      </c>
      <c r="B6592" s="10" t="s">
        <v>4840</v>
      </c>
      <c r="C6592" s="10" t="s">
        <v>4841</v>
      </c>
      <c r="D6592" s="10" t="s">
        <v>6350</v>
      </c>
      <c r="E6592" s="10" t="str">
        <f>"644020240515162043181830"</f>
        <v>644020240515162043181830</v>
      </c>
      <c r="F6592" s="9"/>
    </row>
    <row r="6593" s="2" customFormat="1" ht="30" customHeight="1" spans="1:6">
      <c r="A6593" s="9">
        <v>6590</v>
      </c>
      <c r="B6593" s="10" t="s">
        <v>4840</v>
      </c>
      <c r="C6593" s="10" t="s">
        <v>4841</v>
      </c>
      <c r="D6593" s="10" t="s">
        <v>3811</v>
      </c>
      <c r="E6593" s="10" t="str">
        <f>"644020240512111729168815"</f>
        <v>644020240512111729168815</v>
      </c>
      <c r="F6593" s="9"/>
    </row>
    <row r="6594" s="2" customFormat="1" ht="30" customHeight="1" spans="1:6">
      <c r="A6594" s="9">
        <v>6591</v>
      </c>
      <c r="B6594" s="10" t="s">
        <v>4840</v>
      </c>
      <c r="C6594" s="10" t="s">
        <v>4841</v>
      </c>
      <c r="D6594" s="10" t="s">
        <v>6351</v>
      </c>
      <c r="E6594" s="10" t="str">
        <f>"644020240515220217182331"</f>
        <v>644020240515220217182331</v>
      </c>
      <c r="F6594" s="9"/>
    </row>
    <row r="6595" s="2" customFormat="1" ht="30" customHeight="1" spans="1:6">
      <c r="A6595" s="9">
        <v>6592</v>
      </c>
      <c r="B6595" s="10" t="s">
        <v>4840</v>
      </c>
      <c r="C6595" s="10" t="s">
        <v>4841</v>
      </c>
      <c r="D6595" s="10" t="s">
        <v>6352</v>
      </c>
      <c r="E6595" s="10" t="str">
        <f>"644020240517063957184563"</f>
        <v>644020240517063957184563</v>
      </c>
      <c r="F6595" s="9"/>
    </row>
    <row r="6596" s="2" customFormat="1" ht="30" customHeight="1" spans="1:6">
      <c r="A6596" s="9">
        <v>6593</v>
      </c>
      <c r="B6596" s="10" t="s">
        <v>4840</v>
      </c>
      <c r="C6596" s="10" t="s">
        <v>4841</v>
      </c>
      <c r="D6596" s="10" t="s">
        <v>6353</v>
      </c>
      <c r="E6596" s="10" t="str">
        <f>"644020240517124816185169"</f>
        <v>644020240517124816185169</v>
      </c>
      <c r="F6596" s="9"/>
    </row>
    <row r="6597" s="2" customFormat="1" ht="30" customHeight="1" spans="1:6">
      <c r="A6597" s="9">
        <v>6594</v>
      </c>
      <c r="B6597" s="10" t="s">
        <v>4840</v>
      </c>
      <c r="C6597" s="10" t="s">
        <v>4841</v>
      </c>
      <c r="D6597" s="10" t="s">
        <v>6354</v>
      </c>
      <c r="E6597" s="10" t="str">
        <f>"644020240512201231170761"</f>
        <v>644020240512201231170761</v>
      </c>
      <c r="F6597" s="9"/>
    </row>
    <row r="6598" s="2" customFormat="1" ht="30" customHeight="1" spans="1:6">
      <c r="A6598" s="9">
        <v>6595</v>
      </c>
      <c r="B6598" s="10" t="s">
        <v>4840</v>
      </c>
      <c r="C6598" s="10" t="s">
        <v>4841</v>
      </c>
      <c r="D6598" s="10" t="s">
        <v>1245</v>
      </c>
      <c r="E6598" s="10" t="str">
        <f>"644020240517111908184991"</f>
        <v>644020240517111908184991</v>
      </c>
      <c r="F6598" s="9"/>
    </row>
    <row r="6599" s="2" customFormat="1" ht="30" customHeight="1" spans="1:6">
      <c r="A6599" s="9">
        <v>6596</v>
      </c>
      <c r="B6599" s="10" t="s">
        <v>4840</v>
      </c>
      <c r="C6599" s="10" t="s">
        <v>4841</v>
      </c>
      <c r="D6599" s="10" t="s">
        <v>6355</v>
      </c>
      <c r="E6599" s="10" t="str">
        <f>"644020240517141456185337"</f>
        <v>644020240517141456185337</v>
      </c>
      <c r="F6599" s="9"/>
    </row>
    <row r="6600" s="2" customFormat="1" ht="30" customHeight="1" spans="1:6">
      <c r="A6600" s="9">
        <v>6597</v>
      </c>
      <c r="B6600" s="10" t="s">
        <v>4840</v>
      </c>
      <c r="C6600" s="10" t="s">
        <v>4841</v>
      </c>
      <c r="D6600" s="10" t="s">
        <v>6356</v>
      </c>
      <c r="E6600" s="10" t="str">
        <f>"644020240516014546182694"</f>
        <v>644020240516014546182694</v>
      </c>
      <c r="F6600" s="9"/>
    </row>
    <row r="6601" s="2" customFormat="1" ht="30" customHeight="1" spans="1:6">
      <c r="A6601" s="9">
        <v>6598</v>
      </c>
      <c r="B6601" s="10" t="s">
        <v>4840</v>
      </c>
      <c r="C6601" s="10" t="s">
        <v>4841</v>
      </c>
      <c r="D6601" s="10" t="s">
        <v>6357</v>
      </c>
      <c r="E6601" s="10" t="str">
        <f>"644020240516143216183434"</f>
        <v>644020240516143216183434</v>
      </c>
      <c r="F6601" s="9"/>
    </row>
    <row r="6602" s="2" customFormat="1" ht="30" customHeight="1" spans="1:6">
      <c r="A6602" s="9">
        <v>6599</v>
      </c>
      <c r="B6602" s="10" t="s">
        <v>4840</v>
      </c>
      <c r="C6602" s="10" t="s">
        <v>4841</v>
      </c>
      <c r="D6602" s="10" t="s">
        <v>6358</v>
      </c>
      <c r="E6602" s="10" t="str">
        <f>"644020240517140112185311"</f>
        <v>644020240517140112185311</v>
      </c>
      <c r="F6602" s="9"/>
    </row>
    <row r="6603" s="2" customFormat="1" ht="30" customHeight="1" spans="1:6">
      <c r="A6603" s="9">
        <v>6600</v>
      </c>
      <c r="B6603" s="10" t="s">
        <v>4840</v>
      </c>
      <c r="C6603" s="10" t="s">
        <v>4841</v>
      </c>
      <c r="D6603" s="10" t="s">
        <v>5872</v>
      </c>
      <c r="E6603" s="10" t="str">
        <f>"644020240517133147185264"</f>
        <v>644020240517133147185264</v>
      </c>
      <c r="F6603" s="9"/>
    </row>
    <row r="6604" s="2" customFormat="1" ht="30" customHeight="1" spans="1:6">
      <c r="A6604" s="9">
        <v>6601</v>
      </c>
      <c r="B6604" s="10" t="s">
        <v>4840</v>
      </c>
      <c r="C6604" s="10" t="s">
        <v>4841</v>
      </c>
      <c r="D6604" s="10" t="s">
        <v>6359</v>
      </c>
      <c r="E6604" s="10" t="str">
        <f>"644020240517143521185371"</f>
        <v>644020240517143521185371</v>
      </c>
      <c r="F6604" s="9"/>
    </row>
    <row r="6605" s="2" customFormat="1" ht="30" customHeight="1" spans="1:6">
      <c r="A6605" s="9">
        <v>6602</v>
      </c>
      <c r="B6605" s="10" t="s">
        <v>4840</v>
      </c>
      <c r="C6605" s="10" t="s">
        <v>4841</v>
      </c>
      <c r="D6605" s="10" t="s">
        <v>6360</v>
      </c>
      <c r="E6605" s="10" t="str">
        <f>"644020240514095017178219"</f>
        <v>644020240514095017178219</v>
      </c>
      <c r="F6605" s="9"/>
    </row>
    <row r="6606" s="2" customFormat="1" ht="30" customHeight="1" spans="1:6">
      <c r="A6606" s="9">
        <v>6603</v>
      </c>
      <c r="B6606" s="10" t="s">
        <v>4840</v>
      </c>
      <c r="C6606" s="10" t="s">
        <v>4841</v>
      </c>
      <c r="D6606" s="10" t="s">
        <v>3876</v>
      </c>
      <c r="E6606" s="10" t="str">
        <f>"644020240517125511185190"</f>
        <v>644020240517125511185190</v>
      </c>
      <c r="F6606" s="9"/>
    </row>
    <row r="6607" s="2" customFormat="1" ht="30" customHeight="1" spans="1:6">
      <c r="A6607" s="9">
        <v>6604</v>
      </c>
      <c r="B6607" s="10" t="s">
        <v>4840</v>
      </c>
      <c r="C6607" s="10" t="s">
        <v>4841</v>
      </c>
      <c r="D6607" s="10" t="s">
        <v>6361</v>
      </c>
      <c r="E6607" s="10" t="str">
        <f>"644020240517084835184664"</f>
        <v>644020240517084835184664</v>
      </c>
      <c r="F6607" s="9"/>
    </row>
    <row r="6608" s="2" customFormat="1" ht="30" customHeight="1" spans="1:6">
      <c r="A6608" s="9">
        <v>6605</v>
      </c>
      <c r="B6608" s="10" t="s">
        <v>4840</v>
      </c>
      <c r="C6608" s="10" t="s">
        <v>4841</v>
      </c>
      <c r="D6608" s="10" t="s">
        <v>6362</v>
      </c>
      <c r="E6608" s="10" t="str">
        <f>"644020240513085417172439"</f>
        <v>644020240513085417172439</v>
      </c>
      <c r="F6608" s="9"/>
    </row>
    <row r="6609" s="2" customFormat="1" ht="30" customHeight="1" spans="1:6">
      <c r="A6609" s="9">
        <v>6606</v>
      </c>
      <c r="B6609" s="10" t="s">
        <v>4840</v>
      </c>
      <c r="C6609" s="10" t="s">
        <v>4841</v>
      </c>
      <c r="D6609" s="10" t="s">
        <v>6363</v>
      </c>
      <c r="E6609" s="10" t="str">
        <f>"644020240517141710185342"</f>
        <v>644020240517141710185342</v>
      </c>
      <c r="F6609" s="9"/>
    </row>
    <row r="6610" s="2" customFormat="1" ht="30" customHeight="1" spans="1:6">
      <c r="A6610" s="9">
        <v>6607</v>
      </c>
      <c r="B6610" s="10" t="s">
        <v>4840</v>
      </c>
      <c r="C6610" s="10" t="s">
        <v>4841</v>
      </c>
      <c r="D6610" s="10" t="s">
        <v>6364</v>
      </c>
      <c r="E6610" s="10" t="str">
        <f>"644020240516163243183697"</f>
        <v>644020240516163243183697</v>
      </c>
      <c r="F6610" s="9"/>
    </row>
    <row r="6611" s="2" customFormat="1" ht="30" customHeight="1" spans="1:6">
      <c r="A6611" s="9">
        <v>6608</v>
      </c>
      <c r="B6611" s="10" t="s">
        <v>4840</v>
      </c>
      <c r="C6611" s="10" t="s">
        <v>4841</v>
      </c>
      <c r="D6611" s="10" t="s">
        <v>6365</v>
      </c>
      <c r="E6611" s="10" t="str">
        <f>"644020240517143348185370"</f>
        <v>644020240517143348185370</v>
      </c>
      <c r="F6611" s="9"/>
    </row>
    <row r="6612" s="2" customFormat="1" ht="30" customHeight="1" spans="1:6">
      <c r="A6612" s="9">
        <v>6609</v>
      </c>
      <c r="B6612" s="10" t="s">
        <v>4840</v>
      </c>
      <c r="C6612" s="10" t="s">
        <v>4841</v>
      </c>
      <c r="D6612" s="10" t="s">
        <v>6366</v>
      </c>
      <c r="E6612" s="10" t="str">
        <f>"644020240517090258184693"</f>
        <v>644020240517090258184693</v>
      </c>
      <c r="F6612" s="9"/>
    </row>
    <row r="6613" s="2" customFormat="1" ht="30" customHeight="1" spans="1:6">
      <c r="A6613" s="9">
        <v>6610</v>
      </c>
      <c r="B6613" s="10" t="s">
        <v>4840</v>
      </c>
      <c r="C6613" s="10" t="s">
        <v>4841</v>
      </c>
      <c r="D6613" s="10" t="s">
        <v>6367</v>
      </c>
      <c r="E6613" s="10" t="str">
        <f>"644020240516171139183795"</f>
        <v>644020240516171139183795</v>
      </c>
      <c r="F6613" s="9"/>
    </row>
    <row r="6614" s="2" customFormat="1" ht="30" customHeight="1" spans="1:6">
      <c r="A6614" s="9">
        <v>6611</v>
      </c>
      <c r="B6614" s="10" t="s">
        <v>4840</v>
      </c>
      <c r="C6614" s="10" t="s">
        <v>4841</v>
      </c>
      <c r="D6614" s="10" t="s">
        <v>6368</v>
      </c>
      <c r="E6614" s="10" t="str">
        <f>"644020240517104919184926"</f>
        <v>644020240517104919184926</v>
      </c>
      <c r="F6614" s="9"/>
    </row>
    <row r="6615" s="2" customFormat="1" ht="30" customHeight="1" spans="1:6">
      <c r="A6615" s="9">
        <v>6612</v>
      </c>
      <c r="B6615" s="10" t="s">
        <v>4840</v>
      </c>
      <c r="C6615" s="10" t="s">
        <v>4841</v>
      </c>
      <c r="D6615" s="10" t="s">
        <v>6369</v>
      </c>
      <c r="E6615" s="10" t="str">
        <f>"644020240516234412184431"</f>
        <v>644020240516234412184431</v>
      </c>
      <c r="F6615" s="9"/>
    </row>
    <row r="6616" s="2" customFormat="1" ht="30" customHeight="1" spans="1:6">
      <c r="A6616" s="9">
        <v>6613</v>
      </c>
      <c r="B6616" s="10" t="s">
        <v>4840</v>
      </c>
      <c r="C6616" s="10" t="s">
        <v>4841</v>
      </c>
      <c r="D6616" s="10" t="s">
        <v>6370</v>
      </c>
      <c r="E6616" s="10" t="str">
        <f>"644020240517145645185415"</f>
        <v>644020240517145645185415</v>
      </c>
      <c r="F6616" s="9"/>
    </row>
    <row r="6617" s="2" customFormat="1" ht="30" customHeight="1" spans="1:6">
      <c r="A6617" s="9">
        <v>6614</v>
      </c>
      <c r="B6617" s="10" t="s">
        <v>4840</v>
      </c>
      <c r="C6617" s="10" t="s">
        <v>4841</v>
      </c>
      <c r="D6617" s="10" t="s">
        <v>6371</v>
      </c>
      <c r="E6617" s="10" t="str">
        <f>"644020240517130714185218"</f>
        <v>644020240517130714185218</v>
      </c>
      <c r="F6617" s="9"/>
    </row>
    <row r="6618" s="2" customFormat="1" ht="30" customHeight="1" spans="1:6">
      <c r="A6618" s="9">
        <v>6615</v>
      </c>
      <c r="B6618" s="10" t="s">
        <v>4840</v>
      </c>
      <c r="C6618" s="10" t="s">
        <v>4841</v>
      </c>
      <c r="D6618" s="10" t="s">
        <v>6372</v>
      </c>
      <c r="E6618" s="10" t="str">
        <f>"644020240517151542185462"</f>
        <v>644020240517151542185462</v>
      </c>
      <c r="F6618" s="9"/>
    </row>
    <row r="6619" s="2" customFormat="1" ht="30" customHeight="1" spans="1:6">
      <c r="A6619" s="9">
        <v>6616</v>
      </c>
      <c r="B6619" s="10" t="s">
        <v>4840</v>
      </c>
      <c r="C6619" s="10" t="s">
        <v>4841</v>
      </c>
      <c r="D6619" s="10" t="s">
        <v>6373</v>
      </c>
      <c r="E6619" s="10" t="str">
        <f>"644020240514183407179835"</f>
        <v>644020240514183407179835</v>
      </c>
      <c r="F6619" s="9"/>
    </row>
    <row r="6620" s="2" customFormat="1" ht="30" customHeight="1" spans="1:6">
      <c r="A6620" s="9">
        <v>6617</v>
      </c>
      <c r="B6620" s="10" t="s">
        <v>4840</v>
      </c>
      <c r="C6620" s="10" t="s">
        <v>4841</v>
      </c>
      <c r="D6620" s="10" t="s">
        <v>6374</v>
      </c>
      <c r="E6620" s="10" t="str">
        <f>"644020240517143936185379"</f>
        <v>644020240517143936185379</v>
      </c>
      <c r="F6620" s="9"/>
    </row>
    <row r="6621" s="2" customFormat="1" ht="30" customHeight="1" spans="1:6">
      <c r="A6621" s="9">
        <v>6618</v>
      </c>
      <c r="B6621" s="10" t="s">
        <v>4840</v>
      </c>
      <c r="C6621" s="10" t="s">
        <v>4841</v>
      </c>
      <c r="D6621" s="10" t="s">
        <v>6375</v>
      </c>
      <c r="E6621" s="10" t="str">
        <f>"644020240517145939185421"</f>
        <v>644020240517145939185421</v>
      </c>
      <c r="F6621" s="9"/>
    </row>
    <row r="6622" s="2" customFormat="1" ht="30" customHeight="1" spans="1:6">
      <c r="A6622" s="9">
        <v>6619</v>
      </c>
      <c r="B6622" s="10" t="s">
        <v>4840</v>
      </c>
      <c r="C6622" s="10" t="s">
        <v>4841</v>
      </c>
      <c r="D6622" s="10" t="s">
        <v>6376</v>
      </c>
      <c r="E6622" s="10" t="str">
        <f>"644020240517144526185388"</f>
        <v>644020240517144526185388</v>
      </c>
      <c r="F6622" s="9"/>
    </row>
    <row r="6623" s="2" customFormat="1" ht="30" customHeight="1" spans="1:6">
      <c r="A6623" s="9">
        <v>6620</v>
      </c>
      <c r="B6623" s="10" t="s">
        <v>4840</v>
      </c>
      <c r="C6623" s="10" t="s">
        <v>4841</v>
      </c>
      <c r="D6623" s="10" t="s">
        <v>6377</v>
      </c>
      <c r="E6623" s="10" t="str">
        <f>"644020240517154106185538"</f>
        <v>644020240517154106185538</v>
      </c>
      <c r="F6623" s="9"/>
    </row>
    <row r="6624" s="2" customFormat="1" ht="30" customHeight="1" spans="1:6">
      <c r="A6624" s="9">
        <v>6621</v>
      </c>
      <c r="B6624" s="10" t="s">
        <v>4840</v>
      </c>
      <c r="C6624" s="10" t="s">
        <v>4841</v>
      </c>
      <c r="D6624" s="10" t="s">
        <v>6378</v>
      </c>
      <c r="E6624" s="10" t="str">
        <f>"644020240517153032185512"</f>
        <v>644020240517153032185512</v>
      </c>
      <c r="F6624" s="9"/>
    </row>
    <row r="6625" s="2" customFormat="1" ht="30" customHeight="1" spans="1:6">
      <c r="A6625" s="9">
        <v>6622</v>
      </c>
      <c r="B6625" s="10" t="s">
        <v>4840</v>
      </c>
      <c r="C6625" s="10" t="s">
        <v>4841</v>
      </c>
      <c r="D6625" s="10" t="s">
        <v>6379</v>
      </c>
      <c r="E6625" s="10" t="str">
        <f>"644020240517153934185536"</f>
        <v>644020240517153934185536</v>
      </c>
      <c r="F6625" s="9"/>
    </row>
    <row r="6626" s="2" customFormat="1" ht="30" customHeight="1" spans="1:6">
      <c r="A6626" s="9">
        <v>6623</v>
      </c>
      <c r="B6626" s="10" t="s">
        <v>4840</v>
      </c>
      <c r="C6626" s="10" t="s">
        <v>4841</v>
      </c>
      <c r="D6626" s="10" t="s">
        <v>6380</v>
      </c>
      <c r="E6626" s="10" t="str">
        <f>"644020240517145159185401"</f>
        <v>644020240517145159185401</v>
      </c>
      <c r="F6626" s="9"/>
    </row>
    <row r="6627" s="2" customFormat="1" ht="30" customHeight="1" spans="1:6">
      <c r="A6627" s="9">
        <v>6624</v>
      </c>
      <c r="B6627" s="10" t="s">
        <v>4840</v>
      </c>
      <c r="C6627" s="10" t="s">
        <v>4841</v>
      </c>
      <c r="D6627" s="10" t="s">
        <v>6381</v>
      </c>
      <c r="E6627" s="10" t="str">
        <f>"644020240516193917184027"</f>
        <v>644020240516193917184027</v>
      </c>
      <c r="F6627" s="9"/>
    </row>
    <row r="6628" s="2" customFormat="1" ht="30" customHeight="1" spans="1:6">
      <c r="A6628" s="9">
        <v>6625</v>
      </c>
      <c r="B6628" s="10" t="s">
        <v>4840</v>
      </c>
      <c r="C6628" s="10" t="s">
        <v>4841</v>
      </c>
      <c r="D6628" s="10" t="s">
        <v>6382</v>
      </c>
      <c r="E6628" s="10" t="str">
        <f>"644020240517144809185393"</f>
        <v>644020240517144809185393</v>
      </c>
      <c r="F6628" s="9"/>
    </row>
    <row r="6629" s="2" customFormat="1" ht="30" customHeight="1" spans="1:6">
      <c r="A6629" s="9">
        <v>6626</v>
      </c>
      <c r="B6629" s="10" t="s">
        <v>4840</v>
      </c>
      <c r="C6629" s="10" t="s">
        <v>4841</v>
      </c>
      <c r="D6629" s="10" t="s">
        <v>6383</v>
      </c>
      <c r="E6629" s="10" t="str">
        <f>"644020240517140752185322"</f>
        <v>644020240517140752185322</v>
      </c>
      <c r="F6629" s="9"/>
    </row>
    <row r="6630" s="2" customFormat="1" ht="30" customHeight="1" spans="1:6">
      <c r="A6630" s="9">
        <v>6627</v>
      </c>
      <c r="B6630" s="10" t="s">
        <v>4840</v>
      </c>
      <c r="C6630" s="10" t="s">
        <v>4841</v>
      </c>
      <c r="D6630" s="10" t="s">
        <v>6384</v>
      </c>
      <c r="E6630" s="10" t="str">
        <f>"644020240513095934173116"</f>
        <v>644020240513095934173116</v>
      </c>
      <c r="F6630" s="9"/>
    </row>
    <row r="6631" s="2" customFormat="1" ht="30" customHeight="1" spans="1:6">
      <c r="A6631" s="9">
        <v>6628</v>
      </c>
      <c r="B6631" s="10" t="s">
        <v>4840</v>
      </c>
      <c r="C6631" s="10" t="s">
        <v>4841</v>
      </c>
      <c r="D6631" s="10" t="s">
        <v>6385</v>
      </c>
      <c r="E6631" s="10" t="str">
        <f>"644020240512100230168403"</f>
        <v>644020240512100230168403</v>
      </c>
      <c r="F6631" s="9"/>
    </row>
    <row r="6632" s="2" customFormat="1" ht="30" customHeight="1" spans="1:6">
      <c r="A6632" s="9">
        <v>6629</v>
      </c>
      <c r="B6632" s="10" t="s">
        <v>4840</v>
      </c>
      <c r="C6632" s="10" t="s">
        <v>4841</v>
      </c>
      <c r="D6632" s="10" t="s">
        <v>6386</v>
      </c>
      <c r="E6632" s="10" t="str">
        <f>"644020240517133440185272"</f>
        <v>644020240517133440185272</v>
      </c>
      <c r="F6632" s="9"/>
    </row>
    <row r="6633" s="2" customFormat="1" ht="30" customHeight="1" spans="1:6">
      <c r="A6633" s="9">
        <v>6630</v>
      </c>
      <c r="B6633" s="10" t="s">
        <v>4840</v>
      </c>
      <c r="C6633" s="10" t="s">
        <v>4841</v>
      </c>
      <c r="D6633" s="10" t="s">
        <v>6387</v>
      </c>
      <c r="E6633" s="10" t="str">
        <f>"644020240517155845185586"</f>
        <v>644020240517155845185586</v>
      </c>
      <c r="F6633" s="9"/>
    </row>
    <row r="6634" s="2" customFormat="1" ht="30" customHeight="1" spans="1:6">
      <c r="A6634" s="9">
        <v>6631</v>
      </c>
      <c r="B6634" s="10" t="s">
        <v>4840</v>
      </c>
      <c r="C6634" s="10" t="s">
        <v>4841</v>
      </c>
      <c r="D6634" s="10" t="s">
        <v>6388</v>
      </c>
      <c r="E6634" s="10" t="str">
        <f>"644020240516155525183599"</f>
        <v>644020240516155525183599</v>
      </c>
      <c r="F6634" s="9"/>
    </row>
    <row r="6635" s="2" customFormat="1" ht="30" customHeight="1" spans="1:6">
      <c r="A6635" s="9">
        <v>6632</v>
      </c>
      <c r="B6635" s="10" t="s">
        <v>4840</v>
      </c>
      <c r="C6635" s="10" t="s">
        <v>4841</v>
      </c>
      <c r="D6635" s="10" t="s">
        <v>6389</v>
      </c>
      <c r="E6635" s="10" t="str">
        <f>"644020240517143130185368"</f>
        <v>644020240517143130185368</v>
      </c>
      <c r="F6635" s="9"/>
    </row>
    <row r="6636" s="2" customFormat="1" ht="30" customHeight="1" spans="1:6">
      <c r="A6636" s="9">
        <v>6633</v>
      </c>
      <c r="B6636" s="10" t="s">
        <v>4840</v>
      </c>
      <c r="C6636" s="10" t="s">
        <v>4841</v>
      </c>
      <c r="D6636" s="10" t="s">
        <v>6390</v>
      </c>
      <c r="E6636" s="10" t="str">
        <f>"644020240517150625185437"</f>
        <v>644020240517150625185437</v>
      </c>
      <c r="F6636" s="9"/>
    </row>
    <row r="6637" s="2" customFormat="1" ht="30" customHeight="1" spans="1:6">
      <c r="A6637" s="9">
        <v>6634</v>
      </c>
      <c r="B6637" s="10" t="s">
        <v>4840</v>
      </c>
      <c r="C6637" s="10" t="s">
        <v>4841</v>
      </c>
      <c r="D6637" s="10" t="s">
        <v>6391</v>
      </c>
      <c r="E6637" s="10" t="str">
        <f>"644020240517120327185081"</f>
        <v>644020240517120327185081</v>
      </c>
      <c r="F6637" s="9"/>
    </row>
    <row r="6638" s="2" customFormat="1" ht="30" customHeight="1" spans="1:6">
      <c r="A6638" s="9">
        <v>6635</v>
      </c>
      <c r="B6638" s="10" t="s">
        <v>4840</v>
      </c>
      <c r="C6638" s="10" t="s">
        <v>4841</v>
      </c>
      <c r="D6638" s="10" t="s">
        <v>6392</v>
      </c>
      <c r="E6638" s="10" t="str">
        <f>"644020240516190603183981"</f>
        <v>644020240516190603183981</v>
      </c>
      <c r="F6638" s="9"/>
    </row>
    <row r="6639" s="2" customFormat="1" ht="30" customHeight="1" spans="1:6">
      <c r="A6639" s="9">
        <v>6636</v>
      </c>
      <c r="B6639" s="10" t="s">
        <v>4840</v>
      </c>
      <c r="C6639" s="10" t="s">
        <v>4841</v>
      </c>
      <c r="D6639" s="10" t="s">
        <v>6393</v>
      </c>
      <c r="E6639" s="10" t="str">
        <f>"644020240514155558179387"</f>
        <v>644020240514155558179387</v>
      </c>
      <c r="F6639" s="9"/>
    </row>
    <row r="6640" s="2" customFormat="1" ht="30" customHeight="1" spans="1:6">
      <c r="A6640" s="9">
        <v>6637</v>
      </c>
      <c r="B6640" s="10" t="s">
        <v>4840</v>
      </c>
      <c r="C6640" s="10" t="s">
        <v>4841</v>
      </c>
      <c r="D6640" s="10" t="s">
        <v>6394</v>
      </c>
      <c r="E6640" s="10" t="str">
        <f>"644020240515112255181219"</f>
        <v>644020240515112255181219</v>
      </c>
      <c r="F6640" s="9"/>
    </row>
    <row r="6641" s="2" customFormat="1" ht="30" customHeight="1" spans="1:6">
      <c r="A6641" s="9">
        <v>6638</v>
      </c>
      <c r="B6641" s="10" t="s">
        <v>4840</v>
      </c>
      <c r="C6641" s="10" t="s">
        <v>4841</v>
      </c>
      <c r="D6641" s="10" t="s">
        <v>6395</v>
      </c>
      <c r="E6641" s="10" t="str">
        <f>"644020240517152937185509"</f>
        <v>644020240517152937185509</v>
      </c>
      <c r="F6641" s="9"/>
    </row>
    <row r="6642" s="2" customFormat="1" ht="30" customHeight="1" spans="1:6">
      <c r="A6642" s="9">
        <v>6639</v>
      </c>
      <c r="B6642" s="10" t="s">
        <v>4840</v>
      </c>
      <c r="C6642" s="10" t="s">
        <v>4841</v>
      </c>
      <c r="D6642" s="10" t="s">
        <v>6396</v>
      </c>
      <c r="E6642" s="10" t="str">
        <f>"644020240517160238185595"</f>
        <v>644020240517160238185595</v>
      </c>
      <c r="F6642" s="9"/>
    </row>
    <row r="6643" s="2" customFormat="1" ht="30" customHeight="1" spans="1:6">
      <c r="A6643" s="9">
        <v>6640</v>
      </c>
      <c r="B6643" s="10" t="s">
        <v>4840</v>
      </c>
      <c r="C6643" s="10" t="s">
        <v>4841</v>
      </c>
      <c r="D6643" s="10" t="s">
        <v>6397</v>
      </c>
      <c r="E6643" s="10" t="str">
        <f>"644020240517160946185610"</f>
        <v>644020240517160946185610</v>
      </c>
      <c r="F6643" s="9"/>
    </row>
    <row r="6644" s="2" customFormat="1" ht="30" customHeight="1" spans="1:6">
      <c r="A6644" s="9">
        <v>6641</v>
      </c>
      <c r="B6644" s="10" t="s">
        <v>4840</v>
      </c>
      <c r="C6644" s="10" t="s">
        <v>4841</v>
      </c>
      <c r="D6644" s="10" t="s">
        <v>6398</v>
      </c>
      <c r="E6644" s="10" t="str">
        <f>"644020240517084712184657"</f>
        <v>644020240517084712184657</v>
      </c>
      <c r="F6644" s="9"/>
    </row>
    <row r="6645" s="2" customFormat="1" ht="30" customHeight="1" spans="1:6">
      <c r="A6645" s="9">
        <v>6642</v>
      </c>
      <c r="B6645" s="10" t="s">
        <v>4840</v>
      </c>
      <c r="C6645" s="10" t="s">
        <v>4841</v>
      </c>
      <c r="D6645" s="10" t="s">
        <v>6399</v>
      </c>
      <c r="E6645" s="10" t="str">
        <f>"644020240515161133181813"</f>
        <v>644020240515161133181813</v>
      </c>
      <c r="F6645" s="9"/>
    </row>
    <row r="6646" s="2" customFormat="1" ht="30" customHeight="1" spans="1:6">
      <c r="A6646" s="9">
        <v>6643</v>
      </c>
      <c r="B6646" s="10" t="s">
        <v>4840</v>
      </c>
      <c r="C6646" s="10" t="s">
        <v>4841</v>
      </c>
      <c r="D6646" s="10" t="s">
        <v>6400</v>
      </c>
      <c r="E6646" s="10" t="str">
        <f>"644020240517160319185597"</f>
        <v>644020240517160319185597</v>
      </c>
      <c r="F6646" s="9"/>
    </row>
    <row r="6647" s="2" customFormat="1" ht="30" customHeight="1" spans="1:6">
      <c r="A6647" s="9">
        <v>6644</v>
      </c>
      <c r="B6647" s="10" t="s">
        <v>4840</v>
      </c>
      <c r="C6647" s="10" t="s">
        <v>4841</v>
      </c>
      <c r="D6647" s="10" t="s">
        <v>6401</v>
      </c>
      <c r="E6647" s="10" t="str">
        <f>"644020240516155916183614"</f>
        <v>644020240516155916183614</v>
      </c>
      <c r="F6647" s="9"/>
    </row>
    <row r="6648" s="2" customFormat="1" ht="30" customHeight="1" spans="1:6">
      <c r="A6648" s="9">
        <v>6645</v>
      </c>
      <c r="B6648" s="10" t="s">
        <v>4840</v>
      </c>
      <c r="C6648" s="10" t="s">
        <v>4841</v>
      </c>
      <c r="D6648" s="10" t="s">
        <v>6402</v>
      </c>
      <c r="E6648" s="10" t="str">
        <f>"644020240517155721185582"</f>
        <v>644020240517155721185582</v>
      </c>
      <c r="F6648" s="9"/>
    </row>
    <row r="6649" s="2" customFormat="1" ht="30" customHeight="1" spans="1:6">
      <c r="A6649" s="9">
        <v>6646</v>
      </c>
      <c r="B6649" s="10" t="s">
        <v>4840</v>
      </c>
      <c r="C6649" s="10" t="s">
        <v>4841</v>
      </c>
      <c r="D6649" s="10" t="s">
        <v>6403</v>
      </c>
      <c r="E6649" s="10" t="str">
        <f>"644020240516212921184136"</f>
        <v>644020240516212921184136</v>
      </c>
      <c r="F6649" s="9"/>
    </row>
    <row r="6650" s="2" customFormat="1" ht="30" customHeight="1" spans="1:6">
      <c r="A6650" s="9">
        <v>6647</v>
      </c>
      <c r="B6650" s="10" t="s">
        <v>4840</v>
      </c>
      <c r="C6650" s="10" t="s">
        <v>4841</v>
      </c>
      <c r="D6650" s="10" t="s">
        <v>6404</v>
      </c>
      <c r="E6650" s="10" t="str">
        <f>"644020240517162227185637"</f>
        <v>644020240517162227185637</v>
      </c>
      <c r="F6650" s="9"/>
    </row>
    <row r="6651" s="2" customFormat="1" ht="30" customHeight="1" spans="1:6">
      <c r="A6651" s="9">
        <v>6648</v>
      </c>
      <c r="B6651" s="10" t="s">
        <v>4840</v>
      </c>
      <c r="C6651" s="10" t="s">
        <v>4841</v>
      </c>
      <c r="D6651" s="10" t="s">
        <v>6405</v>
      </c>
      <c r="E6651" s="10" t="str">
        <f>"644020240517111949184993"</f>
        <v>644020240517111949184993</v>
      </c>
      <c r="F6651" s="9"/>
    </row>
    <row r="6652" s="2" customFormat="1" ht="30" customHeight="1" spans="1:6">
      <c r="A6652" s="9">
        <v>6649</v>
      </c>
      <c r="B6652" s="10" t="s">
        <v>4840</v>
      </c>
      <c r="C6652" s="10" t="s">
        <v>4841</v>
      </c>
      <c r="D6652" s="10" t="s">
        <v>6406</v>
      </c>
      <c r="E6652" s="10" t="str">
        <f>"644020240517163634185663"</f>
        <v>644020240517163634185663</v>
      </c>
      <c r="F6652" s="9"/>
    </row>
    <row r="6653" s="2" customFormat="1" ht="30" customHeight="1" spans="1:6">
      <c r="A6653" s="9">
        <v>6650</v>
      </c>
      <c r="B6653" s="10" t="s">
        <v>4840</v>
      </c>
      <c r="C6653" s="10" t="s">
        <v>4841</v>
      </c>
      <c r="D6653" s="10" t="s">
        <v>6407</v>
      </c>
      <c r="E6653" s="10" t="str">
        <f>"644020240517150326185434"</f>
        <v>644020240517150326185434</v>
      </c>
      <c r="F6653" s="9"/>
    </row>
    <row r="6654" s="2" customFormat="1" ht="30" customHeight="1" spans="1:6">
      <c r="A6654" s="9">
        <v>6651</v>
      </c>
      <c r="B6654" s="10" t="s">
        <v>4840</v>
      </c>
      <c r="C6654" s="10" t="s">
        <v>4841</v>
      </c>
      <c r="D6654" s="10" t="s">
        <v>6408</v>
      </c>
      <c r="E6654" s="10" t="str">
        <f>"644020240517163725185665"</f>
        <v>644020240517163725185665</v>
      </c>
      <c r="F6654" s="9"/>
    </row>
    <row r="6655" s="2" customFormat="1" ht="30" customHeight="1" spans="1:6">
      <c r="A6655" s="9">
        <v>6652</v>
      </c>
      <c r="B6655" s="10" t="s">
        <v>4840</v>
      </c>
      <c r="C6655" s="10" t="s">
        <v>4841</v>
      </c>
      <c r="D6655" s="10" t="s">
        <v>6409</v>
      </c>
      <c r="E6655" s="10" t="str">
        <f>"644020240517142147185350"</f>
        <v>644020240517142147185350</v>
      </c>
      <c r="F6655" s="9"/>
    </row>
    <row r="6656" s="2" customFormat="1" ht="30" customHeight="1" spans="1:6">
      <c r="A6656" s="9">
        <v>6653</v>
      </c>
      <c r="B6656" s="10" t="s">
        <v>4840</v>
      </c>
      <c r="C6656" s="10" t="s">
        <v>4841</v>
      </c>
      <c r="D6656" s="10" t="s">
        <v>5091</v>
      </c>
      <c r="E6656" s="10" t="str">
        <f>"644020240517161419185622"</f>
        <v>644020240517161419185622</v>
      </c>
      <c r="F6656" s="9"/>
    </row>
    <row r="6657" s="2" customFormat="1" ht="30" customHeight="1" spans="1:6">
      <c r="A6657" s="9">
        <v>6654</v>
      </c>
      <c r="B6657" s="10" t="s">
        <v>4840</v>
      </c>
      <c r="C6657" s="10" t="s">
        <v>4841</v>
      </c>
      <c r="D6657" s="10" t="s">
        <v>6410</v>
      </c>
      <c r="E6657" s="10" t="str">
        <f>"644020240517155809185585"</f>
        <v>644020240517155809185585</v>
      </c>
      <c r="F6657" s="9"/>
    </row>
    <row r="6658" s="2" customFormat="1" ht="30" customHeight="1" spans="1:6">
      <c r="A6658" s="9">
        <v>6655</v>
      </c>
      <c r="B6658" s="10" t="s">
        <v>4840</v>
      </c>
      <c r="C6658" s="10" t="s">
        <v>4841</v>
      </c>
      <c r="D6658" s="10" t="s">
        <v>6411</v>
      </c>
      <c r="E6658" s="10" t="str">
        <f>"644020240517162101185635"</f>
        <v>644020240517162101185635</v>
      </c>
      <c r="F6658" s="9"/>
    </row>
    <row r="6659" s="2" customFormat="1" ht="30" customHeight="1" spans="1:6">
      <c r="A6659" s="9">
        <v>6656</v>
      </c>
      <c r="B6659" s="10" t="s">
        <v>4840</v>
      </c>
      <c r="C6659" s="10" t="s">
        <v>4841</v>
      </c>
      <c r="D6659" s="10" t="s">
        <v>6412</v>
      </c>
      <c r="E6659" s="10" t="str">
        <f>"644020240517164454185678"</f>
        <v>644020240517164454185678</v>
      </c>
      <c r="F6659" s="9"/>
    </row>
    <row r="6660" s="2" customFormat="1" ht="30" customHeight="1" spans="1:6">
      <c r="A6660" s="9">
        <v>6657</v>
      </c>
      <c r="B6660" s="10" t="s">
        <v>4840</v>
      </c>
      <c r="C6660" s="10" t="s">
        <v>4841</v>
      </c>
      <c r="D6660" s="10" t="s">
        <v>6413</v>
      </c>
      <c r="E6660" s="10" t="str">
        <f>"644020240514091948178064"</f>
        <v>644020240514091948178064</v>
      </c>
      <c r="F6660" s="9"/>
    </row>
    <row r="6661" s="2" customFormat="1" ht="30" customHeight="1" spans="1:6">
      <c r="A6661" s="9">
        <v>6658</v>
      </c>
      <c r="B6661" s="10" t="s">
        <v>4840</v>
      </c>
      <c r="C6661" s="10" t="s">
        <v>4841</v>
      </c>
      <c r="D6661" s="10" t="s">
        <v>6414</v>
      </c>
      <c r="E6661" s="10" t="str">
        <f>"644020240516120814183241"</f>
        <v>644020240516120814183241</v>
      </c>
      <c r="F6661" s="9"/>
    </row>
    <row r="6662" s="2" customFormat="1" ht="30" customHeight="1" spans="1:6">
      <c r="A6662" s="9">
        <v>6659</v>
      </c>
      <c r="B6662" s="10" t="s">
        <v>4840</v>
      </c>
      <c r="C6662" s="10" t="s">
        <v>4841</v>
      </c>
      <c r="D6662" s="10" t="s">
        <v>6415</v>
      </c>
      <c r="E6662" s="10" t="str">
        <f>"644020240517170153185703"</f>
        <v>644020240517170153185703</v>
      </c>
      <c r="F6662" s="9"/>
    </row>
    <row r="6663" s="2" customFormat="1" ht="30" customHeight="1" spans="1:6">
      <c r="A6663" s="9">
        <v>6660</v>
      </c>
      <c r="B6663" s="10" t="s">
        <v>4840</v>
      </c>
      <c r="C6663" s="10" t="s">
        <v>4841</v>
      </c>
      <c r="D6663" s="10" t="s">
        <v>6416</v>
      </c>
      <c r="E6663" s="10" t="str">
        <f>"644020240513120207174149"</f>
        <v>644020240513120207174149</v>
      </c>
      <c r="F6663" s="9"/>
    </row>
    <row r="6664" s="2" customFormat="1" ht="30" customHeight="1" spans="1:6">
      <c r="A6664" s="9">
        <v>6661</v>
      </c>
      <c r="B6664" s="10" t="s">
        <v>4840</v>
      </c>
      <c r="C6664" s="10" t="s">
        <v>4841</v>
      </c>
      <c r="D6664" s="10" t="s">
        <v>6417</v>
      </c>
      <c r="E6664" s="10" t="str">
        <f>"644020240516182823183930"</f>
        <v>644020240516182823183930</v>
      </c>
      <c r="F6664" s="9"/>
    </row>
    <row r="6665" s="2" customFormat="1" ht="30" customHeight="1" spans="1:6">
      <c r="A6665" s="9">
        <v>6662</v>
      </c>
      <c r="B6665" s="10" t="s">
        <v>4840</v>
      </c>
      <c r="C6665" s="10" t="s">
        <v>4841</v>
      </c>
      <c r="D6665" s="10" t="s">
        <v>6418</v>
      </c>
      <c r="E6665" s="10" t="str">
        <f>"644020240517124140185156"</f>
        <v>644020240517124140185156</v>
      </c>
      <c r="F6665" s="9"/>
    </row>
    <row r="6666" s="2" customFormat="1" ht="30" customHeight="1" spans="1:6">
      <c r="A6666" s="9">
        <v>6663</v>
      </c>
      <c r="B6666" s="10" t="s">
        <v>4840</v>
      </c>
      <c r="C6666" s="10" t="s">
        <v>4841</v>
      </c>
      <c r="D6666" s="10" t="s">
        <v>6419</v>
      </c>
      <c r="E6666" s="10" t="str">
        <f>"644020240513095038173025"</f>
        <v>644020240513095038173025</v>
      </c>
      <c r="F6666" s="9"/>
    </row>
    <row r="6667" s="2" customFormat="1" ht="30" customHeight="1" spans="1:6">
      <c r="A6667" s="9">
        <v>6664</v>
      </c>
      <c r="B6667" s="10" t="s">
        <v>4840</v>
      </c>
      <c r="C6667" s="10" t="s">
        <v>4841</v>
      </c>
      <c r="D6667" s="10" t="s">
        <v>6420</v>
      </c>
      <c r="E6667" s="10" t="str">
        <f>"644020240516223605184306"</f>
        <v>644020240516223605184306</v>
      </c>
      <c r="F6667" s="9"/>
    </row>
    <row r="6668" s="2" customFormat="1" ht="30" customHeight="1" spans="1:6">
      <c r="A6668" s="9">
        <v>6665</v>
      </c>
      <c r="B6668" s="10" t="s">
        <v>4840</v>
      </c>
      <c r="C6668" s="10" t="s">
        <v>4841</v>
      </c>
      <c r="D6668" s="10" t="s">
        <v>5127</v>
      </c>
      <c r="E6668" s="10" t="str">
        <f>"644020240517170649185712"</f>
        <v>644020240517170649185712</v>
      </c>
      <c r="F6668" s="9"/>
    </row>
    <row r="6669" s="2" customFormat="1" ht="30" customHeight="1" spans="1:6">
      <c r="A6669" s="9">
        <v>6666</v>
      </c>
      <c r="B6669" s="10" t="s">
        <v>4840</v>
      </c>
      <c r="C6669" s="10" t="s">
        <v>4841</v>
      </c>
      <c r="D6669" s="10" t="s">
        <v>3919</v>
      </c>
      <c r="E6669" s="10" t="str">
        <f>"644020240517163457185660"</f>
        <v>644020240517163457185660</v>
      </c>
      <c r="F6669" s="9"/>
    </row>
    <row r="6670" s="2" customFormat="1" ht="30" customHeight="1" spans="1:6">
      <c r="A6670" s="9">
        <v>6667</v>
      </c>
      <c r="B6670" s="10" t="s">
        <v>4840</v>
      </c>
      <c r="C6670" s="10" t="s">
        <v>4841</v>
      </c>
      <c r="D6670" s="10" t="s">
        <v>4141</v>
      </c>
      <c r="E6670" s="10" t="str">
        <f>"644020240516185121183966"</f>
        <v>644020240516185121183966</v>
      </c>
      <c r="F6670" s="9"/>
    </row>
    <row r="6671" s="2" customFormat="1" ht="30" customHeight="1" spans="1:6">
      <c r="A6671" s="9">
        <v>6668</v>
      </c>
      <c r="B6671" s="10" t="s">
        <v>4840</v>
      </c>
      <c r="C6671" s="10" t="s">
        <v>4841</v>
      </c>
      <c r="D6671" s="10" t="s">
        <v>5975</v>
      </c>
      <c r="E6671" s="10" t="str">
        <f>"644020240513195116176697"</f>
        <v>644020240513195116176697</v>
      </c>
      <c r="F6671" s="9"/>
    </row>
    <row r="6672" s="2" customFormat="1" ht="30" customHeight="1" spans="1:6">
      <c r="A6672" s="9">
        <v>6669</v>
      </c>
      <c r="B6672" s="10" t="s">
        <v>4840</v>
      </c>
      <c r="C6672" s="10" t="s">
        <v>4841</v>
      </c>
      <c r="D6672" s="10" t="s">
        <v>6421</v>
      </c>
      <c r="E6672" s="10" t="str">
        <f>"644020240517173806185756"</f>
        <v>644020240517173806185756</v>
      </c>
      <c r="F6672" s="9"/>
    </row>
    <row r="6673" s="2" customFormat="1" ht="30" customHeight="1" spans="1:6">
      <c r="A6673" s="9">
        <v>6670</v>
      </c>
      <c r="B6673" s="10" t="s">
        <v>4840</v>
      </c>
      <c r="C6673" s="10" t="s">
        <v>4841</v>
      </c>
      <c r="D6673" s="10" t="s">
        <v>6422</v>
      </c>
      <c r="E6673" s="10" t="str">
        <f>"644020240516230709184369"</f>
        <v>644020240516230709184369</v>
      </c>
      <c r="F6673" s="9"/>
    </row>
    <row r="6674" s="2" customFormat="1" ht="30" customHeight="1" spans="1:6">
      <c r="A6674" s="9">
        <v>6671</v>
      </c>
      <c r="B6674" s="10" t="s">
        <v>4840</v>
      </c>
      <c r="C6674" s="10" t="s">
        <v>4841</v>
      </c>
      <c r="D6674" s="10" t="s">
        <v>6423</v>
      </c>
      <c r="E6674" s="10" t="str">
        <f>"644020240517134512185289"</f>
        <v>644020240517134512185289</v>
      </c>
      <c r="F6674" s="9"/>
    </row>
    <row r="6675" s="2" customFormat="1" ht="30" customHeight="1" spans="1:6">
      <c r="A6675" s="9">
        <v>6672</v>
      </c>
      <c r="B6675" s="10" t="s">
        <v>4840</v>
      </c>
      <c r="C6675" s="10" t="s">
        <v>4841</v>
      </c>
      <c r="D6675" s="10" t="s">
        <v>6424</v>
      </c>
      <c r="E6675" s="10" t="str">
        <f>"644020240517173754185754"</f>
        <v>644020240517173754185754</v>
      </c>
      <c r="F6675" s="9"/>
    </row>
    <row r="6676" s="2" customFormat="1" ht="30" customHeight="1" spans="1:6">
      <c r="A6676" s="9">
        <v>6673</v>
      </c>
      <c r="B6676" s="10" t="s">
        <v>4840</v>
      </c>
      <c r="C6676" s="10" t="s">
        <v>4841</v>
      </c>
      <c r="D6676" s="10" t="s">
        <v>6425</v>
      </c>
      <c r="E6676" s="10" t="str">
        <f>"644020240514102422178398"</f>
        <v>644020240514102422178398</v>
      </c>
      <c r="F6676" s="9"/>
    </row>
    <row r="6677" s="2" customFormat="1" ht="30" customHeight="1" spans="1:6">
      <c r="A6677" s="9">
        <v>6674</v>
      </c>
      <c r="B6677" s="10" t="s">
        <v>4840</v>
      </c>
      <c r="C6677" s="10" t="s">
        <v>4841</v>
      </c>
      <c r="D6677" s="10" t="s">
        <v>6426</v>
      </c>
      <c r="E6677" s="10" t="str">
        <f>"644020240513174703176299"</f>
        <v>644020240513174703176299</v>
      </c>
      <c r="F6677" s="9"/>
    </row>
    <row r="6678" s="2" customFormat="1" ht="30" customHeight="1" spans="1:6">
      <c r="A6678" s="9">
        <v>6675</v>
      </c>
      <c r="B6678" s="10" t="s">
        <v>4840</v>
      </c>
      <c r="C6678" s="10" t="s">
        <v>4841</v>
      </c>
      <c r="D6678" s="10" t="s">
        <v>6427</v>
      </c>
      <c r="E6678" s="10" t="str">
        <f>"644020240517172125185732"</f>
        <v>644020240517172125185732</v>
      </c>
      <c r="F6678" s="9"/>
    </row>
    <row r="6679" s="2" customFormat="1" ht="30" customHeight="1" spans="1:6">
      <c r="A6679" s="9">
        <v>6676</v>
      </c>
      <c r="B6679" s="10" t="s">
        <v>4840</v>
      </c>
      <c r="C6679" s="10" t="s">
        <v>4841</v>
      </c>
      <c r="D6679" s="10" t="s">
        <v>6428</v>
      </c>
      <c r="E6679" s="10" t="str">
        <f>"644020240517171543185727"</f>
        <v>644020240517171543185727</v>
      </c>
      <c r="F6679" s="9"/>
    </row>
    <row r="6680" s="2" customFormat="1" ht="30" customHeight="1" spans="1:6">
      <c r="A6680" s="9">
        <v>6677</v>
      </c>
      <c r="B6680" s="10" t="s">
        <v>4840</v>
      </c>
      <c r="C6680" s="10" t="s">
        <v>4841</v>
      </c>
      <c r="D6680" s="10" t="s">
        <v>6429</v>
      </c>
      <c r="E6680" s="10" t="str">
        <f>"644020240517174749185771"</f>
        <v>644020240517174749185771</v>
      </c>
      <c r="F6680" s="9"/>
    </row>
    <row r="6681" s="2" customFormat="1" ht="30" customHeight="1" spans="1:6">
      <c r="A6681" s="9">
        <v>6678</v>
      </c>
      <c r="B6681" s="10" t="s">
        <v>4840</v>
      </c>
      <c r="C6681" s="10" t="s">
        <v>4841</v>
      </c>
      <c r="D6681" s="10" t="s">
        <v>6430</v>
      </c>
      <c r="E6681" s="10" t="str">
        <f>"644020240517175306185782"</f>
        <v>644020240517175306185782</v>
      </c>
      <c r="F6681" s="9"/>
    </row>
    <row r="6682" s="2" customFormat="1" ht="30" customHeight="1" spans="1:6">
      <c r="A6682" s="9">
        <v>6679</v>
      </c>
      <c r="B6682" s="10" t="s">
        <v>4840</v>
      </c>
      <c r="C6682" s="10" t="s">
        <v>4841</v>
      </c>
      <c r="D6682" s="10" t="s">
        <v>822</v>
      </c>
      <c r="E6682" s="10" t="str">
        <f>"644020240517142644185358"</f>
        <v>644020240517142644185358</v>
      </c>
      <c r="F6682" s="9"/>
    </row>
    <row r="6683" s="2" customFormat="1" ht="30" customHeight="1" spans="1:6">
      <c r="A6683" s="9">
        <v>6680</v>
      </c>
      <c r="B6683" s="10" t="s">
        <v>4840</v>
      </c>
      <c r="C6683" s="10" t="s">
        <v>4841</v>
      </c>
      <c r="D6683" s="10" t="s">
        <v>6431</v>
      </c>
      <c r="E6683" s="10" t="str">
        <f>"644020240517171145185724"</f>
        <v>644020240517171145185724</v>
      </c>
      <c r="F6683" s="9"/>
    </row>
    <row r="6684" s="2" customFormat="1" ht="30" customHeight="1" spans="1:6">
      <c r="A6684" s="9">
        <v>6681</v>
      </c>
      <c r="B6684" s="10" t="s">
        <v>4840</v>
      </c>
      <c r="C6684" s="10" t="s">
        <v>4841</v>
      </c>
      <c r="D6684" s="10" t="s">
        <v>6432</v>
      </c>
      <c r="E6684" s="10" t="str">
        <f>"644020240517181412185819"</f>
        <v>644020240517181412185819</v>
      </c>
      <c r="F6684" s="9"/>
    </row>
    <row r="6685" s="2" customFormat="1" ht="30" customHeight="1" spans="1:6">
      <c r="A6685" s="9">
        <v>6682</v>
      </c>
      <c r="B6685" s="10" t="s">
        <v>4840</v>
      </c>
      <c r="C6685" s="10" t="s">
        <v>4841</v>
      </c>
      <c r="D6685" s="10" t="s">
        <v>6433</v>
      </c>
      <c r="E6685" s="10" t="str">
        <f>"644020240517151734185469"</f>
        <v>644020240517151734185469</v>
      </c>
      <c r="F6685" s="9"/>
    </row>
    <row r="6686" s="2" customFormat="1" ht="30" customHeight="1" spans="1:6">
      <c r="A6686" s="9">
        <v>6683</v>
      </c>
      <c r="B6686" s="10" t="s">
        <v>4840</v>
      </c>
      <c r="C6686" s="10" t="s">
        <v>4841</v>
      </c>
      <c r="D6686" s="10" t="s">
        <v>6434</v>
      </c>
      <c r="E6686" s="10" t="str">
        <f>"644020240517080150184598"</f>
        <v>644020240517080150184598</v>
      </c>
      <c r="F6686" s="9"/>
    </row>
    <row r="6687" s="2" customFormat="1" ht="30" customHeight="1" spans="1:6">
      <c r="A6687" s="9">
        <v>6684</v>
      </c>
      <c r="B6687" s="10" t="s">
        <v>4840</v>
      </c>
      <c r="C6687" s="10" t="s">
        <v>4841</v>
      </c>
      <c r="D6687" s="10" t="s">
        <v>6435</v>
      </c>
      <c r="E6687" s="10" t="str">
        <f>"644020240517160003185589"</f>
        <v>644020240517160003185589</v>
      </c>
      <c r="F6687" s="9"/>
    </row>
    <row r="6688" s="2" customFormat="1" ht="30" customHeight="1" spans="1:6">
      <c r="A6688" s="9">
        <v>6685</v>
      </c>
      <c r="B6688" s="10" t="s">
        <v>4840</v>
      </c>
      <c r="C6688" s="10" t="s">
        <v>4841</v>
      </c>
      <c r="D6688" s="10" t="s">
        <v>6436</v>
      </c>
      <c r="E6688" s="10" t="str">
        <f>"644020240516161659183659"</f>
        <v>644020240516161659183659</v>
      </c>
      <c r="F6688" s="9"/>
    </row>
    <row r="6689" s="2" customFormat="1" ht="30" customHeight="1" spans="1:6">
      <c r="A6689" s="9">
        <v>6686</v>
      </c>
      <c r="B6689" s="10" t="s">
        <v>4840</v>
      </c>
      <c r="C6689" s="10" t="s">
        <v>4841</v>
      </c>
      <c r="D6689" s="10" t="s">
        <v>6437</v>
      </c>
      <c r="E6689" s="10" t="str">
        <f>"644020240517181236185815"</f>
        <v>644020240517181236185815</v>
      </c>
      <c r="F6689" s="9"/>
    </row>
    <row r="6690" s="2" customFormat="1" ht="30" customHeight="1" spans="1:6">
      <c r="A6690" s="9">
        <v>6687</v>
      </c>
      <c r="B6690" s="10" t="s">
        <v>4840</v>
      </c>
      <c r="C6690" s="10" t="s">
        <v>4841</v>
      </c>
      <c r="D6690" s="10" t="s">
        <v>2322</v>
      </c>
      <c r="E6690" s="10" t="str">
        <f>"644020240517183830185845"</f>
        <v>644020240517183830185845</v>
      </c>
      <c r="F6690" s="9"/>
    </row>
    <row r="6691" s="2" customFormat="1" ht="30" customHeight="1" spans="1:6">
      <c r="A6691" s="9">
        <v>6688</v>
      </c>
      <c r="B6691" s="10" t="s">
        <v>4840</v>
      </c>
      <c r="C6691" s="10" t="s">
        <v>4841</v>
      </c>
      <c r="D6691" s="10" t="s">
        <v>6438</v>
      </c>
      <c r="E6691" s="10" t="str">
        <f>"644020240517175205185781"</f>
        <v>644020240517175205185781</v>
      </c>
      <c r="F6691" s="9"/>
    </row>
    <row r="6692" s="2" customFormat="1" ht="30" customHeight="1" spans="1:6">
      <c r="A6692" s="9">
        <v>6689</v>
      </c>
      <c r="B6692" s="10" t="s">
        <v>4840</v>
      </c>
      <c r="C6692" s="10" t="s">
        <v>4841</v>
      </c>
      <c r="D6692" s="10" t="s">
        <v>6439</v>
      </c>
      <c r="E6692" s="10" t="str">
        <f>"644020240517190424185869"</f>
        <v>644020240517190424185869</v>
      </c>
      <c r="F6692" s="9"/>
    </row>
    <row r="6693" s="2" customFormat="1" ht="30" customHeight="1" spans="1:6">
      <c r="A6693" s="9">
        <v>6690</v>
      </c>
      <c r="B6693" s="10" t="s">
        <v>4840</v>
      </c>
      <c r="C6693" s="10" t="s">
        <v>4841</v>
      </c>
      <c r="D6693" s="10" t="s">
        <v>6440</v>
      </c>
      <c r="E6693" s="10" t="str">
        <f>"644020240517151805185472"</f>
        <v>644020240517151805185472</v>
      </c>
      <c r="F6693" s="9"/>
    </row>
    <row r="6694" s="2" customFormat="1" ht="30" customHeight="1" spans="1:6">
      <c r="A6694" s="9">
        <v>6691</v>
      </c>
      <c r="B6694" s="10" t="s">
        <v>4840</v>
      </c>
      <c r="C6694" s="10" t="s">
        <v>4841</v>
      </c>
      <c r="D6694" s="10" t="s">
        <v>6441</v>
      </c>
      <c r="E6694" s="10" t="str">
        <f>"644020240517181226185814"</f>
        <v>644020240517181226185814</v>
      </c>
      <c r="F6694" s="9"/>
    </row>
    <row r="6695" s="2" customFormat="1" ht="30" customHeight="1" spans="1:6">
      <c r="A6695" s="9">
        <v>6692</v>
      </c>
      <c r="B6695" s="10" t="s">
        <v>4840</v>
      </c>
      <c r="C6695" s="10" t="s">
        <v>4841</v>
      </c>
      <c r="D6695" s="10" t="s">
        <v>6442</v>
      </c>
      <c r="E6695" s="10" t="str">
        <f>"644020240516160304183626"</f>
        <v>644020240516160304183626</v>
      </c>
      <c r="F6695" s="9"/>
    </row>
    <row r="6696" s="2" customFormat="1" ht="30" customHeight="1" spans="1:6">
      <c r="A6696" s="9">
        <v>6693</v>
      </c>
      <c r="B6696" s="10" t="s">
        <v>4840</v>
      </c>
      <c r="C6696" s="10" t="s">
        <v>4841</v>
      </c>
      <c r="D6696" s="10" t="s">
        <v>6443</v>
      </c>
      <c r="E6696" s="10" t="str">
        <f>"644020240516203225184066"</f>
        <v>644020240516203225184066</v>
      </c>
      <c r="F6696" s="9"/>
    </row>
    <row r="6697" s="2" customFormat="1" ht="30" customHeight="1" spans="1:6">
      <c r="A6697" s="9">
        <v>6694</v>
      </c>
      <c r="B6697" s="10" t="s">
        <v>4840</v>
      </c>
      <c r="C6697" s="10" t="s">
        <v>4841</v>
      </c>
      <c r="D6697" s="10" t="s">
        <v>6444</v>
      </c>
      <c r="E6697" s="10" t="str">
        <f>"644020240517174819185772"</f>
        <v>644020240517174819185772</v>
      </c>
      <c r="F6697" s="9"/>
    </row>
    <row r="6698" s="2" customFormat="1" ht="30" customHeight="1" spans="1:6">
      <c r="A6698" s="9">
        <v>6695</v>
      </c>
      <c r="B6698" s="10" t="s">
        <v>4840</v>
      </c>
      <c r="C6698" s="10" t="s">
        <v>4841</v>
      </c>
      <c r="D6698" s="10" t="s">
        <v>6445</v>
      </c>
      <c r="E6698" s="10" t="str">
        <f>"644020240517194047185903"</f>
        <v>644020240517194047185903</v>
      </c>
      <c r="F6698" s="9"/>
    </row>
    <row r="6699" s="2" customFormat="1" ht="30" customHeight="1" spans="1:6">
      <c r="A6699" s="9">
        <v>6696</v>
      </c>
      <c r="B6699" s="10" t="s">
        <v>4840</v>
      </c>
      <c r="C6699" s="10" t="s">
        <v>4841</v>
      </c>
      <c r="D6699" s="10" t="s">
        <v>6446</v>
      </c>
      <c r="E6699" s="10" t="str">
        <f>"644020240512163015169999"</f>
        <v>644020240512163015169999</v>
      </c>
      <c r="F6699" s="9"/>
    </row>
    <row r="6700" s="2" customFormat="1" ht="30" customHeight="1" spans="1:6">
      <c r="A6700" s="9">
        <v>6697</v>
      </c>
      <c r="B6700" s="10" t="s">
        <v>4840</v>
      </c>
      <c r="C6700" s="10" t="s">
        <v>4841</v>
      </c>
      <c r="D6700" s="10" t="s">
        <v>6447</v>
      </c>
      <c r="E6700" s="10" t="str">
        <f>"644020240517194645185912"</f>
        <v>644020240517194645185912</v>
      </c>
      <c r="F6700" s="9"/>
    </row>
    <row r="6701" s="2" customFormat="1" ht="30" customHeight="1" spans="1:6">
      <c r="A6701" s="9">
        <v>6698</v>
      </c>
      <c r="B6701" s="10" t="s">
        <v>4840</v>
      </c>
      <c r="C6701" s="10" t="s">
        <v>4841</v>
      </c>
      <c r="D6701" s="10" t="s">
        <v>6448</v>
      </c>
      <c r="E6701" s="10" t="str">
        <f>"644020240517192559185884"</f>
        <v>644020240517192559185884</v>
      </c>
      <c r="F6701" s="9"/>
    </row>
    <row r="6702" s="2" customFormat="1" ht="30" customHeight="1" spans="1:6">
      <c r="A6702" s="9">
        <v>6699</v>
      </c>
      <c r="B6702" s="10" t="s">
        <v>4840</v>
      </c>
      <c r="C6702" s="10" t="s">
        <v>4841</v>
      </c>
      <c r="D6702" s="10" t="s">
        <v>6449</v>
      </c>
      <c r="E6702" s="10" t="str">
        <f>"644020240516145754183477"</f>
        <v>644020240516145754183477</v>
      </c>
      <c r="F6702" s="9"/>
    </row>
    <row r="6703" s="2" customFormat="1" ht="30" customHeight="1" spans="1:6">
      <c r="A6703" s="9">
        <v>6700</v>
      </c>
      <c r="B6703" s="10" t="s">
        <v>4840</v>
      </c>
      <c r="C6703" s="10" t="s">
        <v>4841</v>
      </c>
      <c r="D6703" s="10" t="s">
        <v>6450</v>
      </c>
      <c r="E6703" s="10" t="str">
        <f>"644020240516123855183294"</f>
        <v>644020240516123855183294</v>
      </c>
      <c r="F6703" s="9"/>
    </row>
    <row r="6704" s="2" customFormat="1" ht="30" customHeight="1" spans="1:6">
      <c r="A6704" s="9">
        <v>6701</v>
      </c>
      <c r="B6704" s="10" t="s">
        <v>4840</v>
      </c>
      <c r="C6704" s="10" t="s">
        <v>4841</v>
      </c>
      <c r="D6704" s="10" t="s">
        <v>6451</v>
      </c>
      <c r="E6704" s="10" t="str">
        <f>"644020240517111445184981"</f>
        <v>644020240517111445184981</v>
      </c>
      <c r="F6704" s="9"/>
    </row>
    <row r="6705" s="2" customFormat="1" ht="30" customHeight="1" spans="1:6">
      <c r="A6705" s="9">
        <v>6702</v>
      </c>
      <c r="B6705" s="10" t="s">
        <v>4840</v>
      </c>
      <c r="C6705" s="10" t="s">
        <v>4841</v>
      </c>
      <c r="D6705" s="10" t="s">
        <v>6452</v>
      </c>
      <c r="E6705" s="10" t="str">
        <f>"644020240517160438185598"</f>
        <v>644020240517160438185598</v>
      </c>
      <c r="F6705" s="9"/>
    </row>
    <row r="6706" s="2" customFormat="1" ht="30" customHeight="1" spans="1:6">
      <c r="A6706" s="9">
        <v>6703</v>
      </c>
      <c r="B6706" s="10" t="s">
        <v>4840</v>
      </c>
      <c r="C6706" s="10" t="s">
        <v>4841</v>
      </c>
      <c r="D6706" s="10" t="s">
        <v>6453</v>
      </c>
      <c r="E6706" s="10" t="str">
        <f>"644020240517171118185721"</f>
        <v>644020240517171118185721</v>
      </c>
      <c r="F6706" s="9"/>
    </row>
    <row r="6707" s="2" customFormat="1" ht="30" customHeight="1" spans="1:6">
      <c r="A6707" s="9">
        <v>6704</v>
      </c>
      <c r="B6707" s="10" t="s">
        <v>4840</v>
      </c>
      <c r="C6707" s="10" t="s">
        <v>4841</v>
      </c>
      <c r="D6707" s="10" t="s">
        <v>6454</v>
      </c>
      <c r="E6707" s="10" t="str">
        <f>"644020240517174859185773"</f>
        <v>644020240517174859185773</v>
      </c>
      <c r="F6707" s="9"/>
    </row>
    <row r="6708" s="2" customFormat="1" ht="30" customHeight="1" spans="1:6">
      <c r="A6708" s="9">
        <v>6705</v>
      </c>
      <c r="B6708" s="10" t="s">
        <v>4840</v>
      </c>
      <c r="C6708" s="10" t="s">
        <v>4841</v>
      </c>
      <c r="D6708" s="10" t="s">
        <v>6455</v>
      </c>
      <c r="E6708" s="10" t="str">
        <f>"644020240513105830173674"</f>
        <v>644020240513105830173674</v>
      </c>
      <c r="F6708" s="9"/>
    </row>
    <row r="6709" s="2" customFormat="1" ht="30" customHeight="1" spans="1:6">
      <c r="A6709" s="9">
        <v>6706</v>
      </c>
      <c r="B6709" s="10" t="s">
        <v>4840</v>
      </c>
      <c r="C6709" s="10" t="s">
        <v>4841</v>
      </c>
      <c r="D6709" s="10" t="s">
        <v>6456</v>
      </c>
      <c r="E6709" s="10" t="str">
        <f>"644020240517000836184470"</f>
        <v>644020240517000836184470</v>
      </c>
      <c r="F6709" s="9"/>
    </row>
    <row r="6710" s="2" customFormat="1" ht="30" customHeight="1" spans="1:6">
      <c r="A6710" s="9">
        <v>6707</v>
      </c>
      <c r="B6710" s="10" t="s">
        <v>4840</v>
      </c>
      <c r="C6710" s="10" t="s">
        <v>4841</v>
      </c>
      <c r="D6710" s="10" t="s">
        <v>6457</v>
      </c>
      <c r="E6710" s="10" t="str">
        <f>"644020240517154620185554"</f>
        <v>644020240517154620185554</v>
      </c>
      <c r="F6710" s="9"/>
    </row>
    <row r="6711" s="2" customFormat="1" ht="30" customHeight="1" spans="1:6">
      <c r="A6711" s="9">
        <v>6708</v>
      </c>
      <c r="B6711" s="10" t="s">
        <v>4840</v>
      </c>
      <c r="C6711" s="10" t="s">
        <v>4841</v>
      </c>
      <c r="D6711" s="10" t="s">
        <v>6458</v>
      </c>
      <c r="E6711" s="10" t="str">
        <f>"644020240517193520185895"</f>
        <v>644020240517193520185895</v>
      </c>
      <c r="F6711" s="9"/>
    </row>
    <row r="6712" s="2" customFormat="1" ht="30" customHeight="1" spans="1:6">
      <c r="A6712" s="9">
        <v>6709</v>
      </c>
      <c r="B6712" s="10" t="s">
        <v>4840</v>
      </c>
      <c r="C6712" s="10" t="s">
        <v>4841</v>
      </c>
      <c r="D6712" s="10" t="s">
        <v>6459</v>
      </c>
      <c r="E6712" s="10" t="str">
        <f>"644020240516122024183261"</f>
        <v>644020240516122024183261</v>
      </c>
      <c r="F6712" s="9"/>
    </row>
    <row r="6713" s="2" customFormat="1" ht="30" customHeight="1" spans="1:6">
      <c r="A6713" s="9">
        <v>6710</v>
      </c>
      <c r="B6713" s="10" t="s">
        <v>4840</v>
      </c>
      <c r="C6713" s="10" t="s">
        <v>4841</v>
      </c>
      <c r="D6713" s="10" t="s">
        <v>2240</v>
      </c>
      <c r="E6713" s="10" t="str">
        <f>"644020240515151547181652"</f>
        <v>644020240515151547181652</v>
      </c>
      <c r="F6713" s="9"/>
    </row>
    <row r="6714" s="2" customFormat="1" ht="30" customHeight="1" spans="1:6">
      <c r="A6714" s="9">
        <v>6711</v>
      </c>
      <c r="B6714" s="10" t="s">
        <v>4840</v>
      </c>
      <c r="C6714" s="10" t="s">
        <v>4841</v>
      </c>
      <c r="D6714" s="10" t="s">
        <v>6460</v>
      </c>
      <c r="E6714" s="10" t="str">
        <f>"644020240515085228180743"</f>
        <v>644020240515085228180743</v>
      </c>
      <c r="F6714" s="9"/>
    </row>
    <row r="6715" s="2" customFormat="1" ht="30" customHeight="1" spans="1:6">
      <c r="A6715" s="9">
        <v>6712</v>
      </c>
      <c r="B6715" s="10" t="s">
        <v>4840</v>
      </c>
      <c r="C6715" s="10" t="s">
        <v>4841</v>
      </c>
      <c r="D6715" s="10" t="s">
        <v>6461</v>
      </c>
      <c r="E6715" s="10" t="str">
        <f>"644020240516212823184131"</f>
        <v>644020240516212823184131</v>
      </c>
      <c r="F6715" s="9"/>
    </row>
    <row r="6716" s="2" customFormat="1" ht="30" customHeight="1" spans="1:6">
      <c r="A6716" s="9">
        <v>6713</v>
      </c>
      <c r="B6716" s="10" t="s">
        <v>4840</v>
      </c>
      <c r="C6716" s="10" t="s">
        <v>4841</v>
      </c>
      <c r="D6716" s="10" t="s">
        <v>6462</v>
      </c>
      <c r="E6716" s="10" t="str">
        <f>"644020240517210629185956"</f>
        <v>644020240517210629185956</v>
      </c>
      <c r="F6716" s="9"/>
    </row>
    <row r="6717" s="2" customFormat="1" ht="30" customHeight="1" spans="1:6">
      <c r="A6717" s="9">
        <v>6714</v>
      </c>
      <c r="B6717" s="10" t="s">
        <v>4840</v>
      </c>
      <c r="C6717" s="10" t="s">
        <v>4841</v>
      </c>
      <c r="D6717" s="10" t="s">
        <v>6463</v>
      </c>
      <c r="E6717" s="10" t="str">
        <f>"644020240517212657185988"</f>
        <v>644020240517212657185988</v>
      </c>
      <c r="F6717" s="9"/>
    </row>
    <row r="6718" s="2" customFormat="1" ht="30" customHeight="1" spans="1:6">
      <c r="A6718" s="9">
        <v>6715</v>
      </c>
      <c r="B6718" s="10" t="s">
        <v>4840</v>
      </c>
      <c r="C6718" s="10" t="s">
        <v>4841</v>
      </c>
      <c r="D6718" s="10" t="s">
        <v>6464</v>
      </c>
      <c r="E6718" s="10" t="str">
        <f>"644020240516221036184244"</f>
        <v>644020240516221036184244</v>
      </c>
      <c r="F6718" s="9"/>
    </row>
    <row r="6719" s="2" customFormat="1" ht="30" customHeight="1" spans="1:6">
      <c r="A6719" s="9">
        <v>6716</v>
      </c>
      <c r="B6719" s="10" t="s">
        <v>4840</v>
      </c>
      <c r="C6719" s="10" t="s">
        <v>4841</v>
      </c>
      <c r="D6719" s="10" t="s">
        <v>6465</v>
      </c>
      <c r="E6719" s="10" t="str">
        <f>"644020240514144726179163"</f>
        <v>644020240514144726179163</v>
      </c>
      <c r="F6719" s="9"/>
    </row>
    <row r="6720" s="2" customFormat="1" ht="30" customHeight="1" spans="1:6">
      <c r="A6720" s="9">
        <v>6717</v>
      </c>
      <c r="B6720" s="10" t="s">
        <v>4840</v>
      </c>
      <c r="C6720" s="10" t="s">
        <v>4841</v>
      </c>
      <c r="D6720" s="10" t="s">
        <v>6466</v>
      </c>
      <c r="E6720" s="10" t="str">
        <f>"644020240517212642185987"</f>
        <v>644020240517212642185987</v>
      </c>
      <c r="F6720" s="9"/>
    </row>
    <row r="6721" s="2" customFormat="1" ht="30" customHeight="1" spans="1:6">
      <c r="A6721" s="9">
        <v>6718</v>
      </c>
      <c r="B6721" s="10" t="s">
        <v>4840</v>
      </c>
      <c r="C6721" s="10" t="s">
        <v>4841</v>
      </c>
      <c r="D6721" s="10" t="s">
        <v>6467</v>
      </c>
      <c r="E6721" s="10" t="str">
        <f>"644020240514150439179220"</f>
        <v>644020240514150439179220</v>
      </c>
      <c r="F6721" s="9"/>
    </row>
    <row r="6722" s="2" customFormat="1" ht="30" customHeight="1" spans="1:6">
      <c r="A6722" s="9">
        <v>6719</v>
      </c>
      <c r="B6722" s="10" t="s">
        <v>4840</v>
      </c>
      <c r="C6722" s="10" t="s">
        <v>4841</v>
      </c>
      <c r="D6722" s="10" t="s">
        <v>965</v>
      </c>
      <c r="E6722" s="10" t="str">
        <f>"644020240513220652177259"</f>
        <v>644020240513220652177259</v>
      </c>
      <c r="F6722" s="9"/>
    </row>
    <row r="6723" s="2" customFormat="1" ht="30" customHeight="1" spans="1:6">
      <c r="A6723" s="9">
        <v>6720</v>
      </c>
      <c r="B6723" s="10" t="s">
        <v>4840</v>
      </c>
      <c r="C6723" s="10" t="s">
        <v>4841</v>
      </c>
      <c r="D6723" s="10" t="s">
        <v>6468</v>
      </c>
      <c r="E6723" s="10" t="str">
        <f>"644020240517093458184758"</f>
        <v>644020240517093458184758</v>
      </c>
      <c r="F6723" s="9"/>
    </row>
    <row r="6724" s="2" customFormat="1" ht="30" customHeight="1" spans="1:6">
      <c r="A6724" s="9">
        <v>6721</v>
      </c>
      <c r="B6724" s="10" t="s">
        <v>4840</v>
      </c>
      <c r="C6724" s="10" t="s">
        <v>4841</v>
      </c>
      <c r="D6724" s="10" t="s">
        <v>6469</v>
      </c>
      <c r="E6724" s="10" t="str">
        <f>"644020240515165251181934"</f>
        <v>644020240515165251181934</v>
      </c>
      <c r="F6724" s="9"/>
    </row>
    <row r="6725" s="2" customFormat="1" ht="30" customHeight="1" spans="1:6">
      <c r="A6725" s="9">
        <v>6722</v>
      </c>
      <c r="B6725" s="10" t="s">
        <v>4840</v>
      </c>
      <c r="C6725" s="10" t="s">
        <v>4841</v>
      </c>
      <c r="D6725" s="10" t="s">
        <v>6470</v>
      </c>
      <c r="E6725" s="10" t="str">
        <f>"644020240517212920185998"</f>
        <v>644020240517212920185998</v>
      </c>
      <c r="F6725" s="9"/>
    </row>
    <row r="6726" s="2" customFormat="1" ht="30" customHeight="1" spans="1:6">
      <c r="A6726" s="9">
        <v>6723</v>
      </c>
      <c r="B6726" s="10" t="s">
        <v>4840</v>
      </c>
      <c r="C6726" s="10" t="s">
        <v>4841</v>
      </c>
      <c r="D6726" s="10" t="s">
        <v>6471</v>
      </c>
      <c r="E6726" s="10" t="str">
        <f>"644020240517140534185316"</f>
        <v>644020240517140534185316</v>
      </c>
      <c r="F6726" s="9"/>
    </row>
    <row r="6727" s="2" customFormat="1" ht="30" customHeight="1" spans="1:6">
      <c r="A6727" s="9">
        <v>6724</v>
      </c>
      <c r="B6727" s="10" t="s">
        <v>4840</v>
      </c>
      <c r="C6727" s="10" t="s">
        <v>4841</v>
      </c>
      <c r="D6727" s="10" t="s">
        <v>3342</v>
      </c>
      <c r="E6727" s="10" t="str">
        <f>"644020240517022244184549"</f>
        <v>644020240517022244184549</v>
      </c>
      <c r="F6727" s="9"/>
    </row>
    <row r="6728" s="2" customFormat="1" ht="30" customHeight="1" spans="1:6">
      <c r="A6728" s="9">
        <v>6725</v>
      </c>
      <c r="B6728" s="10" t="s">
        <v>4840</v>
      </c>
      <c r="C6728" s="10" t="s">
        <v>4841</v>
      </c>
      <c r="D6728" s="10" t="s">
        <v>6472</v>
      </c>
      <c r="E6728" s="10" t="str">
        <f>"644020240515101705180996"</f>
        <v>644020240515101705180996</v>
      </c>
      <c r="F6728" s="9"/>
    </row>
    <row r="6729" s="2" customFormat="1" ht="30" customHeight="1" spans="1:6">
      <c r="A6729" s="9">
        <v>6726</v>
      </c>
      <c r="B6729" s="10" t="s">
        <v>4840</v>
      </c>
      <c r="C6729" s="10" t="s">
        <v>4841</v>
      </c>
      <c r="D6729" s="10" t="s">
        <v>6473</v>
      </c>
      <c r="E6729" s="10" t="str">
        <f>"644020240517155737185583"</f>
        <v>644020240517155737185583</v>
      </c>
      <c r="F6729" s="9"/>
    </row>
    <row r="6730" s="2" customFormat="1" ht="30" customHeight="1" spans="1:6">
      <c r="A6730" s="9">
        <v>6727</v>
      </c>
      <c r="B6730" s="10" t="s">
        <v>4840</v>
      </c>
      <c r="C6730" s="10" t="s">
        <v>4841</v>
      </c>
      <c r="D6730" s="10" t="s">
        <v>6474</v>
      </c>
      <c r="E6730" s="10" t="str">
        <f>"644020240517214257186022"</f>
        <v>644020240517214257186022</v>
      </c>
      <c r="F6730" s="9"/>
    </row>
    <row r="6731" s="2" customFormat="1" ht="30" customHeight="1" spans="1:6">
      <c r="A6731" s="9">
        <v>6728</v>
      </c>
      <c r="B6731" s="10" t="s">
        <v>4840</v>
      </c>
      <c r="C6731" s="10" t="s">
        <v>4841</v>
      </c>
      <c r="D6731" s="10" t="s">
        <v>6475</v>
      </c>
      <c r="E6731" s="10" t="str">
        <f>"644020240517202021185939"</f>
        <v>644020240517202021185939</v>
      </c>
      <c r="F6731" s="9"/>
    </row>
    <row r="6732" s="2" customFormat="1" ht="30" customHeight="1" spans="1:6">
      <c r="A6732" s="9">
        <v>6729</v>
      </c>
      <c r="B6732" s="10" t="s">
        <v>4840</v>
      </c>
      <c r="C6732" s="10" t="s">
        <v>4841</v>
      </c>
      <c r="D6732" s="10" t="s">
        <v>6476</v>
      </c>
      <c r="E6732" s="10" t="str">
        <f>"644020240517214132186021"</f>
        <v>644020240517214132186021</v>
      </c>
      <c r="F6732" s="9"/>
    </row>
    <row r="6733" s="2" customFormat="1" ht="30" customHeight="1" spans="1:6">
      <c r="A6733" s="9">
        <v>6730</v>
      </c>
      <c r="B6733" s="10" t="s">
        <v>4840</v>
      </c>
      <c r="C6733" s="10" t="s">
        <v>4841</v>
      </c>
      <c r="D6733" s="10" t="s">
        <v>6477</v>
      </c>
      <c r="E6733" s="10" t="str">
        <f>"644020240514191630179917"</f>
        <v>644020240514191630179917</v>
      </c>
      <c r="F6733" s="9"/>
    </row>
    <row r="6734" s="2" customFormat="1" ht="30" customHeight="1" spans="1:6">
      <c r="A6734" s="9">
        <v>6731</v>
      </c>
      <c r="B6734" s="10" t="s">
        <v>4840</v>
      </c>
      <c r="C6734" s="10" t="s">
        <v>4841</v>
      </c>
      <c r="D6734" s="10" t="s">
        <v>6478</v>
      </c>
      <c r="E6734" s="10" t="str">
        <f>"644020240517212545185983"</f>
        <v>644020240517212545185983</v>
      </c>
      <c r="F6734" s="9"/>
    </row>
    <row r="6735" s="2" customFormat="1" ht="30" customHeight="1" spans="1:6">
      <c r="A6735" s="9">
        <v>6732</v>
      </c>
      <c r="B6735" s="10" t="s">
        <v>4840</v>
      </c>
      <c r="C6735" s="10" t="s">
        <v>4841</v>
      </c>
      <c r="D6735" s="10" t="s">
        <v>3035</v>
      </c>
      <c r="E6735" s="10" t="str">
        <f>"644020240517213550186015"</f>
        <v>644020240517213550186015</v>
      </c>
      <c r="F6735" s="9"/>
    </row>
    <row r="6736" s="2" customFormat="1" ht="30" customHeight="1" spans="1:6">
      <c r="A6736" s="9">
        <v>6733</v>
      </c>
      <c r="B6736" s="10" t="s">
        <v>4840</v>
      </c>
      <c r="C6736" s="10" t="s">
        <v>4841</v>
      </c>
      <c r="D6736" s="10" t="s">
        <v>6479</v>
      </c>
      <c r="E6736" s="10" t="str">
        <f>"644020240517163851185669"</f>
        <v>644020240517163851185669</v>
      </c>
      <c r="F6736" s="9"/>
    </row>
    <row r="6737" s="2" customFormat="1" ht="30" customHeight="1" spans="1:6">
      <c r="A6737" s="9">
        <v>6734</v>
      </c>
      <c r="B6737" s="10" t="s">
        <v>4840</v>
      </c>
      <c r="C6737" s="10" t="s">
        <v>4841</v>
      </c>
      <c r="D6737" s="10" t="s">
        <v>6480</v>
      </c>
      <c r="E6737" s="10" t="str">
        <f>"644020240515120232181325"</f>
        <v>644020240515120232181325</v>
      </c>
      <c r="F6737" s="9"/>
    </row>
    <row r="6738" s="2" customFormat="1" ht="30" customHeight="1" spans="1:6">
      <c r="A6738" s="9">
        <v>6735</v>
      </c>
      <c r="B6738" s="10" t="s">
        <v>4840</v>
      </c>
      <c r="C6738" s="10" t="s">
        <v>4841</v>
      </c>
      <c r="D6738" s="10" t="s">
        <v>6481</v>
      </c>
      <c r="E6738" s="10" t="str">
        <f>"644020240516182802183928"</f>
        <v>644020240516182802183928</v>
      </c>
      <c r="F6738" s="9"/>
    </row>
    <row r="6739" s="2" customFormat="1" ht="30" customHeight="1" spans="1:6">
      <c r="A6739" s="9">
        <v>6736</v>
      </c>
      <c r="B6739" s="10" t="s">
        <v>4840</v>
      </c>
      <c r="C6739" s="10" t="s">
        <v>4841</v>
      </c>
      <c r="D6739" s="10" t="s">
        <v>6482</v>
      </c>
      <c r="E6739" s="10" t="str">
        <f>"644020240517213309186011"</f>
        <v>644020240517213309186011</v>
      </c>
      <c r="F6739" s="9"/>
    </row>
    <row r="6740" s="2" customFormat="1" ht="30" customHeight="1" spans="1:6">
      <c r="A6740" s="9">
        <v>6737</v>
      </c>
      <c r="B6740" s="10" t="s">
        <v>4840</v>
      </c>
      <c r="C6740" s="10" t="s">
        <v>4841</v>
      </c>
      <c r="D6740" s="10" t="s">
        <v>509</v>
      </c>
      <c r="E6740" s="10" t="str">
        <f>"644020240517160827185605"</f>
        <v>644020240517160827185605</v>
      </c>
      <c r="F6740" s="9"/>
    </row>
    <row r="6741" s="2" customFormat="1" ht="30" customHeight="1" spans="1:6">
      <c r="A6741" s="9">
        <v>6738</v>
      </c>
      <c r="B6741" s="10" t="s">
        <v>4840</v>
      </c>
      <c r="C6741" s="10" t="s">
        <v>4841</v>
      </c>
      <c r="D6741" s="10" t="s">
        <v>6483</v>
      </c>
      <c r="E6741" s="10" t="str">
        <f>"644020240517120129185077"</f>
        <v>644020240517120129185077</v>
      </c>
      <c r="F6741" s="9"/>
    </row>
    <row r="6742" s="2" customFormat="1" ht="30" customHeight="1" spans="1:6">
      <c r="A6742" s="9">
        <v>6739</v>
      </c>
      <c r="B6742" s="10" t="s">
        <v>4840</v>
      </c>
      <c r="C6742" s="10" t="s">
        <v>4841</v>
      </c>
      <c r="D6742" s="10" t="s">
        <v>6484</v>
      </c>
      <c r="E6742" s="10" t="str">
        <f>"644020240517215344186036"</f>
        <v>644020240517215344186036</v>
      </c>
      <c r="F6742" s="9"/>
    </row>
    <row r="6743" s="2" customFormat="1" ht="30" customHeight="1" spans="1:6">
      <c r="A6743" s="9">
        <v>6740</v>
      </c>
      <c r="B6743" s="10" t="s">
        <v>4840</v>
      </c>
      <c r="C6743" s="10" t="s">
        <v>4841</v>
      </c>
      <c r="D6743" s="10" t="s">
        <v>6485</v>
      </c>
      <c r="E6743" s="10" t="str">
        <f>"644020240516041756182708"</f>
        <v>644020240516041756182708</v>
      </c>
      <c r="F6743" s="9"/>
    </row>
    <row r="6744" s="2" customFormat="1" ht="30" customHeight="1" spans="1:6">
      <c r="A6744" s="9">
        <v>6741</v>
      </c>
      <c r="B6744" s="10" t="s">
        <v>4840</v>
      </c>
      <c r="C6744" s="10" t="s">
        <v>4841</v>
      </c>
      <c r="D6744" s="10" t="s">
        <v>6486</v>
      </c>
      <c r="E6744" s="10" t="str">
        <f>"644020240517145215185403"</f>
        <v>644020240517145215185403</v>
      </c>
      <c r="F6744" s="9"/>
    </row>
    <row r="6745" s="2" customFormat="1" ht="30" customHeight="1" spans="1:6">
      <c r="A6745" s="9">
        <v>6742</v>
      </c>
      <c r="B6745" s="10" t="s">
        <v>4840</v>
      </c>
      <c r="C6745" s="10" t="s">
        <v>4841</v>
      </c>
      <c r="D6745" s="10" t="s">
        <v>6487</v>
      </c>
      <c r="E6745" s="10" t="str">
        <f>"644020240517223110186059"</f>
        <v>644020240517223110186059</v>
      </c>
      <c r="F6745" s="9"/>
    </row>
    <row r="6746" s="2" customFormat="1" ht="30" customHeight="1" spans="1:6">
      <c r="A6746" s="9">
        <v>6743</v>
      </c>
      <c r="B6746" s="10" t="s">
        <v>4840</v>
      </c>
      <c r="C6746" s="10" t="s">
        <v>4841</v>
      </c>
      <c r="D6746" s="10" t="s">
        <v>6488</v>
      </c>
      <c r="E6746" s="10" t="str">
        <f>"644020240517162022185632"</f>
        <v>644020240517162022185632</v>
      </c>
      <c r="F6746" s="9"/>
    </row>
    <row r="6747" s="2" customFormat="1" ht="30" customHeight="1" spans="1:6">
      <c r="A6747" s="9">
        <v>6744</v>
      </c>
      <c r="B6747" s="10" t="s">
        <v>4840</v>
      </c>
      <c r="C6747" s="10" t="s">
        <v>4841</v>
      </c>
      <c r="D6747" s="10" t="s">
        <v>6489</v>
      </c>
      <c r="E6747" s="10" t="str">
        <f>"644020240515190823182144"</f>
        <v>644020240515190823182144</v>
      </c>
      <c r="F6747" s="9"/>
    </row>
    <row r="6748" s="2" customFormat="1" ht="30" customHeight="1" spans="1:6">
      <c r="A6748" s="9">
        <v>6745</v>
      </c>
      <c r="B6748" s="10" t="s">
        <v>4840</v>
      </c>
      <c r="C6748" s="10" t="s">
        <v>4841</v>
      </c>
      <c r="D6748" s="10" t="s">
        <v>6490</v>
      </c>
      <c r="E6748" s="10" t="str">
        <f>"644020240517180402185801"</f>
        <v>644020240517180402185801</v>
      </c>
      <c r="F6748" s="9"/>
    </row>
    <row r="6749" s="2" customFormat="1" ht="30" customHeight="1" spans="1:6">
      <c r="A6749" s="9">
        <v>6746</v>
      </c>
      <c r="B6749" s="10" t="s">
        <v>4840</v>
      </c>
      <c r="C6749" s="10" t="s">
        <v>4841</v>
      </c>
      <c r="D6749" s="10" t="s">
        <v>6491</v>
      </c>
      <c r="E6749" s="10" t="str">
        <f>"644020240517154318185540"</f>
        <v>644020240517154318185540</v>
      </c>
      <c r="F6749" s="9"/>
    </row>
    <row r="6750" s="2" customFormat="1" ht="30" customHeight="1" spans="1:6">
      <c r="A6750" s="9">
        <v>6747</v>
      </c>
      <c r="B6750" s="10" t="s">
        <v>4840</v>
      </c>
      <c r="C6750" s="10" t="s">
        <v>4841</v>
      </c>
      <c r="D6750" s="10" t="s">
        <v>6492</v>
      </c>
      <c r="E6750" s="10" t="str">
        <f>"644020240517154638185558"</f>
        <v>644020240517154638185558</v>
      </c>
      <c r="F6750" s="9"/>
    </row>
    <row r="6751" s="2" customFormat="1" ht="30" customHeight="1" spans="1:6">
      <c r="A6751" s="9">
        <v>6748</v>
      </c>
      <c r="B6751" s="10" t="s">
        <v>4840</v>
      </c>
      <c r="C6751" s="10" t="s">
        <v>4841</v>
      </c>
      <c r="D6751" s="10" t="s">
        <v>6493</v>
      </c>
      <c r="E6751" s="10" t="str">
        <f>"644020240515200407182223"</f>
        <v>644020240515200407182223</v>
      </c>
      <c r="F6751" s="9"/>
    </row>
    <row r="6752" s="2" customFormat="1" ht="30" customHeight="1" spans="1:6">
      <c r="A6752" s="9">
        <v>6749</v>
      </c>
      <c r="B6752" s="10" t="s">
        <v>4840</v>
      </c>
      <c r="C6752" s="10" t="s">
        <v>4841</v>
      </c>
      <c r="D6752" s="10" t="s">
        <v>6494</v>
      </c>
      <c r="E6752" s="10" t="str">
        <f>"644020240516152839183551"</f>
        <v>644020240516152839183551</v>
      </c>
      <c r="F6752" s="9"/>
    </row>
    <row r="6753" s="2" customFormat="1" ht="30" customHeight="1" spans="1:6">
      <c r="A6753" s="9">
        <v>6750</v>
      </c>
      <c r="B6753" s="10" t="s">
        <v>4840</v>
      </c>
      <c r="C6753" s="10" t="s">
        <v>4841</v>
      </c>
      <c r="D6753" s="10" t="s">
        <v>6495</v>
      </c>
      <c r="E6753" s="10" t="str">
        <f>"644020240517213809186017"</f>
        <v>644020240517213809186017</v>
      </c>
      <c r="F6753" s="9"/>
    </row>
    <row r="6754" s="2" customFormat="1" ht="30" customHeight="1" spans="1:6">
      <c r="A6754" s="9">
        <v>6751</v>
      </c>
      <c r="B6754" s="10" t="s">
        <v>4840</v>
      </c>
      <c r="C6754" s="10" t="s">
        <v>4841</v>
      </c>
      <c r="D6754" s="10" t="s">
        <v>6496</v>
      </c>
      <c r="E6754" s="10" t="str">
        <f>"644020240514212121180173"</f>
        <v>644020240514212121180173</v>
      </c>
      <c r="F6754" s="9"/>
    </row>
    <row r="6755" s="2" customFormat="1" ht="30" customHeight="1" spans="1:6">
      <c r="A6755" s="9">
        <v>6752</v>
      </c>
      <c r="B6755" s="10" t="s">
        <v>4840</v>
      </c>
      <c r="C6755" s="10" t="s">
        <v>4841</v>
      </c>
      <c r="D6755" s="10" t="s">
        <v>6497</v>
      </c>
      <c r="E6755" s="10" t="str">
        <f>"644020240517232245186085"</f>
        <v>644020240517232245186085</v>
      </c>
      <c r="F6755" s="9"/>
    </row>
    <row r="6756" s="2" customFormat="1" ht="30" customHeight="1" spans="1:6">
      <c r="A6756" s="9">
        <v>6753</v>
      </c>
      <c r="B6756" s="10" t="s">
        <v>4840</v>
      </c>
      <c r="C6756" s="10" t="s">
        <v>4841</v>
      </c>
      <c r="D6756" s="10" t="s">
        <v>6498</v>
      </c>
      <c r="E6756" s="10" t="str">
        <f>"644020240516221257184251"</f>
        <v>644020240516221257184251</v>
      </c>
      <c r="F6756" s="9"/>
    </row>
    <row r="6757" s="2" customFormat="1" ht="30" customHeight="1" spans="1:6">
      <c r="A6757" s="9">
        <v>6754</v>
      </c>
      <c r="B6757" s="10" t="s">
        <v>4840</v>
      </c>
      <c r="C6757" s="10" t="s">
        <v>4841</v>
      </c>
      <c r="D6757" s="10" t="s">
        <v>6499</v>
      </c>
      <c r="E6757" s="10" t="str">
        <f>"644020240517110019184951"</f>
        <v>644020240517110019184951</v>
      </c>
      <c r="F6757" s="9"/>
    </row>
    <row r="6758" s="2" customFormat="1" ht="30" customHeight="1" spans="1:6">
      <c r="A6758" s="9">
        <v>6755</v>
      </c>
      <c r="B6758" s="10" t="s">
        <v>4840</v>
      </c>
      <c r="C6758" s="10" t="s">
        <v>4841</v>
      </c>
      <c r="D6758" s="10" t="s">
        <v>6500</v>
      </c>
      <c r="E6758" s="10" t="str">
        <f>"644020240517233034186105"</f>
        <v>644020240517233034186105</v>
      </c>
      <c r="F6758" s="9"/>
    </row>
    <row r="6759" s="2" customFormat="1" ht="30" customHeight="1" spans="1:6">
      <c r="A6759" s="9">
        <v>6756</v>
      </c>
      <c r="B6759" s="10" t="s">
        <v>4840</v>
      </c>
      <c r="C6759" s="10" t="s">
        <v>4841</v>
      </c>
      <c r="D6759" s="10" t="s">
        <v>6501</v>
      </c>
      <c r="E6759" s="10" t="str">
        <f>"644020240516232222184396"</f>
        <v>644020240516232222184396</v>
      </c>
      <c r="F6759" s="9"/>
    </row>
    <row r="6760" s="2" customFormat="1" ht="30" customHeight="1" spans="1:6">
      <c r="A6760" s="9">
        <v>6757</v>
      </c>
      <c r="B6760" s="10" t="s">
        <v>4840</v>
      </c>
      <c r="C6760" s="10" t="s">
        <v>4841</v>
      </c>
      <c r="D6760" s="10" t="s">
        <v>6502</v>
      </c>
      <c r="E6760" s="10" t="str">
        <f>"644020240513174455176295"</f>
        <v>644020240513174455176295</v>
      </c>
      <c r="F6760" s="9"/>
    </row>
    <row r="6761" s="2" customFormat="1" ht="30" customHeight="1" spans="1:6">
      <c r="A6761" s="9">
        <v>6758</v>
      </c>
      <c r="B6761" s="10" t="s">
        <v>4840</v>
      </c>
      <c r="C6761" s="10" t="s">
        <v>4841</v>
      </c>
      <c r="D6761" s="10" t="s">
        <v>6503</v>
      </c>
      <c r="E6761" s="10" t="str">
        <f>"644020240516215448184198"</f>
        <v>644020240516215448184198</v>
      </c>
      <c r="F6761" s="9"/>
    </row>
    <row r="6762" s="2" customFormat="1" ht="30" customHeight="1" spans="1:6">
      <c r="A6762" s="9">
        <v>6759</v>
      </c>
      <c r="B6762" s="10" t="s">
        <v>4840</v>
      </c>
      <c r="C6762" s="10" t="s">
        <v>4841</v>
      </c>
      <c r="D6762" s="10" t="s">
        <v>6504</v>
      </c>
      <c r="E6762" s="10" t="str">
        <f>"644020240516000026182624"</f>
        <v>644020240516000026182624</v>
      </c>
      <c r="F6762" s="9"/>
    </row>
    <row r="6763" s="2" customFormat="1" ht="30" customHeight="1" spans="1:6">
      <c r="A6763" s="9">
        <v>6760</v>
      </c>
      <c r="B6763" s="10" t="s">
        <v>4840</v>
      </c>
      <c r="C6763" s="10" t="s">
        <v>4841</v>
      </c>
      <c r="D6763" s="10" t="s">
        <v>6505</v>
      </c>
      <c r="E6763" s="10" t="str">
        <f>"644020240517212719185991"</f>
        <v>644020240517212719185991</v>
      </c>
      <c r="F6763" s="9"/>
    </row>
    <row r="6764" s="2" customFormat="1" ht="30" customHeight="1" spans="1:6">
      <c r="A6764" s="9">
        <v>6761</v>
      </c>
      <c r="B6764" s="10" t="s">
        <v>4840</v>
      </c>
      <c r="C6764" s="10" t="s">
        <v>4841</v>
      </c>
      <c r="D6764" s="10" t="s">
        <v>6506</v>
      </c>
      <c r="E6764" s="10" t="str">
        <f>"644020240517130129185201"</f>
        <v>644020240517130129185201</v>
      </c>
      <c r="F6764" s="9"/>
    </row>
    <row r="6765" s="2" customFormat="1" ht="30" customHeight="1" spans="1:6">
      <c r="A6765" s="9">
        <v>6762</v>
      </c>
      <c r="B6765" s="10" t="s">
        <v>4840</v>
      </c>
      <c r="C6765" s="10" t="s">
        <v>4841</v>
      </c>
      <c r="D6765" s="10" t="s">
        <v>6507</v>
      </c>
      <c r="E6765" s="10" t="str">
        <f>"644020240515024906180627"</f>
        <v>644020240515024906180627</v>
      </c>
      <c r="F6765" s="9"/>
    </row>
    <row r="6766" s="2" customFormat="1" ht="30" customHeight="1" spans="1:6">
      <c r="A6766" s="9">
        <v>6763</v>
      </c>
      <c r="B6766" s="10" t="s">
        <v>4840</v>
      </c>
      <c r="C6766" s="10" t="s">
        <v>4841</v>
      </c>
      <c r="D6766" s="10" t="s">
        <v>6508</v>
      </c>
      <c r="E6766" s="10" t="str">
        <f>"644020240517234100186121"</f>
        <v>644020240517234100186121</v>
      </c>
      <c r="F6766" s="9"/>
    </row>
    <row r="6767" s="2" customFormat="1" ht="30" customHeight="1" spans="1:6">
      <c r="A6767" s="9">
        <v>6764</v>
      </c>
      <c r="B6767" s="10" t="s">
        <v>4840</v>
      </c>
      <c r="C6767" s="10" t="s">
        <v>4841</v>
      </c>
      <c r="D6767" s="10" t="s">
        <v>6509</v>
      </c>
      <c r="E6767" s="10" t="str">
        <f>"644020240517004515184509"</f>
        <v>644020240517004515184509</v>
      </c>
      <c r="F6767" s="9"/>
    </row>
    <row r="6768" s="2" customFormat="1" ht="30" customHeight="1" spans="1:6">
      <c r="A6768" s="9">
        <v>6765</v>
      </c>
      <c r="B6768" s="10" t="s">
        <v>4840</v>
      </c>
      <c r="C6768" s="10" t="s">
        <v>4841</v>
      </c>
      <c r="D6768" s="10" t="s">
        <v>6510</v>
      </c>
      <c r="E6768" s="10" t="str">
        <f>"644020240517235118186139"</f>
        <v>644020240517235118186139</v>
      </c>
      <c r="F6768" s="9"/>
    </row>
    <row r="6769" s="2" customFormat="1" ht="30" customHeight="1" spans="1:6">
      <c r="A6769" s="9">
        <v>6766</v>
      </c>
      <c r="B6769" s="10" t="s">
        <v>4840</v>
      </c>
      <c r="C6769" s="10" t="s">
        <v>4841</v>
      </c>
      <c r="D6769" s="10" t="s">
        <v>6511</v>
      </c>
      <c r="E6769" s="10" t="str">
        <f>"644020240513205705176946"</f>
        <v>644020240513205705176946</v>
      </c>
      <c r="F6769" s="9"/>
    </row>
    <row r="6770" s="2" customFormat="1" ht="30" customHeight="1" spans="1:6">
      <c r="A6770" s="9">
        <v>6767</v>
      </c>
      <c r="B6770" s="10" t="s">
        <v>4840</v>
      </c>
      <c r="C6770" s="10" t="s">
        <v>4841</v>
      </c>
      <c r="D6770" s="10" t="s">
        <v>6512</v>
      </c>
      <c r="E6770" s="10" t="str">
        <f>"644020240516231404184379"</f>
        <v>644020240516231404184379</v>
      </c>
      <c r="F6770" s="9"/>
    </row>
    <row r="6771" s="2" customFormat="1" ht="30" customHeight="1" spans="1:6">
      <c r="A6771" s="9">
        <v>6768</v>
      </c>
      <c r="B6771" s="10" t="s">
        <v>4840</v>
      </c>
      <c r="C6771" s="10" t="s">
        <v>4841</v>
      </c>
      <c r="D6771" s="10" t="s">
        <v>6513</v>
      </c>
      <c r="E6771" s="10" t="str">
        <f>"644020240517235145186140"</f>
        <v>644020240517235145186140</v>
      </c>
      <c r="F6771" s="9"/>
    </row>
    <row r="6772" s="2" customFormat="1" ht="30" customHeight="1" spans="1:6">
      <c r="A6772" s="9">
        <v>6769</v>
      </c>
      <c r="B6772" s="10" t="s">
        <v>4840</v>
      </c>
      <c r="C6772" s="10" t="s">
        <v>4841</v>
      </c>
      <c r="D6772" s="10" t="s">
        <v>4773</v>
      </c>
      <c r="E6772" s="10" t="str">
        <f>"644020240513085405172438"</f>
        <v>644020240513085405172438</v>
      </c>
      <c r="F6772" s="9"/>
    </row>
    <row r="6773" s="2" customFormat="1" ht="30" customHeight="1" spans="1:6">
      <c r="A6773" s="9">
        <v>6770</v>
      </c>
      <c r="B6773" s="10" t="s">
        <v>4840</v>
      </c>
      <c r="C6773" s="10" t="s">
        <v>4841</v>
      </c>
      <c r="D6773" s="10" t="s">
        <v>6514</v>
      </c>
      <c r="E6773" s="10" t="str">
        <f>"644020240518003635186201"</f>
        <v>644020240518003635186201</v>
      </c>
      <c r="F6773" s="9"/>
    </row>
    <row r="6774" s="2" customFormat="1" ht="30" customHeight="1" spans="1:6">
      <c r="A6774" s="9">
        <v>6771</v>
      </c>
      <c r="B6774" s="10" t="s">
        <v>4840</v>
      </c>
      <c r="C6774" s="10" t="s">
        <v>4841</v>
      </c>
      <c r="D6774" s="10" t="s">
        <v>6515</v>
      </c>
      <c r="E6774" s="10" t="str">
        <f>"644020240518002553186190"</f>
        <v>644020240518002553186190</v>
      </c>
      <c r="F6774" s="9"/>
    </row>
    <row r="6775" s="2" customFormat="1" ht="30" customHeight="1" spans="1:6">
      <c r="A6775" s="9">
        <v>6772</v>
      </c>
      <c r="B6775" s="10" t="s">
        <v>4840</v>
      </c>
      <c r="C6775" s="10" t="s">
        <v>4841</v>
      </c>
      <c r="D6775" s="10" t="s">
        <v>6516</v>
      </c>
      <c r="E6775" s="10" t="str">
        <f>"644020240518002732186192"</f>
        <v>644020240518002732186192</v>
      </c>
      <c r="F6775" s="9"/>
    </row>
    <row r="6776" s="2" customFormat="1" ht="30" customHeight="1" spans="1:6">
      <c r="A6776" s="9">
        <v>6773</v>
      </c>
      <c r="B6776" s="10" t="s">
        <v>4840</v>
      </c>
      <c r="C6776" s="10" t="s">
        <v>4841</v>
      </c>
      <c r="D6776" s="10" t="s">
        <v>6517</v>
      </c>
      <c r="E6776" s="10" t="str">
        <f>"644020240516235611184453"</f>
        <v>644020240516235611184453</v>
      </c>
      <c r="F6776" s="9"/>
    </row>
    <row r="6777" s="2" customFormat="1" ht="30" customHeight="1" spans="1:6">
      <c r="A6777" s="9">
        <v>6774</v>
      </c>
      <c r="B6777" s="10" t="s">
        <v>4840</v>
      </c>
      <c r="C6777" s="10" t="s">
        <v>4841</v>
      </c>
      <c r="D6777" s="10" t="s">
        <v>6518</v>
      </c>
      <c r="E6777" s="10" t="str">
        <f>"644020240518005117186219"</f>
        <v>644020240518005117186219</v>
      </c>
      <c r="F6777" s="9"/>
    </row>
    <row r="6778" s="2" customFormat="1" ht="30" customHeight="1" spans="1:6">
      <c r="A6778" s="9">
        <v>6775</v>
      </c>
      <c r="B6778" s="10" t="s">
        <v>4840</v>
      </c>
      <c r="C6778" s="10" t="s">
        <v>4841</v>
      </c>
      <c r="D6778" s="10" t="s">
        <v>6519</v>
      </c>
      <c r="E6778" s="10" t="str">
        <f>"644020240516222704184286"</f>
        <v>644020240516222704184286</v>
      </c>
      <c r="F6778" s="9"/>
    </row>
    <row r="6779" s="2" customFormat="1" ht="30" customHeight="1" spans="1:6">
      <c r="A6779" s="9">
        <v>6776</v>
      </c>
      <c r="B6779" s="10" t="s">
        <v>4840</v>
      </c>
      <c r="C6779" s="10" t="s">
        <v>4841</v>
      </c>
      <c r="D6779" s="10" t="s">
        <v>6520</v>
      </c>
      <c r="E6779" s="10" t="str">
        <f>"644020240518003440186199"</f>
        <v>644020240518003440186199</v>
      </c>
      <c r="F6779" s="9"/>
    </row>
    <row r="6780" s="2" customFormat="1" ht="30" customHeight="1" spans="1:6">
      <c r="A6780" s="9">
        <v>6777</v>
      </c>
      <c r="B6780" s="10" t="s">
        <v>4840</v>
      </c>
      <c r="C6780" s="10" t="s">
        <v>4841</v>
      </c>
      <c r="D6780" s="10" t="s">
        <v>6521</v>
      </c>
      <c r="E6780" s="10" t="str">
        <f>"644020240518005238186221"</f>
        <v>644020240518005238186221</v>
      </c>
      <c r="F6780" s="9"/>
    </row>
    <row r="6781" s="2" customFormat="1" ht="30" customHeight="1" spans="1:6">
      <c r="A6781" s="9">
        <v>6778</v>
      </c>
      <c r="B6781" s="10" t="s">
        <v>4840</v>
      </c>
      <c r="C6781" s="10" t="s">
        <v>4841</v>
      </c>
      <c r="D6781" s="10" t="s">
        <v>6522</v>
      </c>
      <c r="E6781" s="10" t="str">
        <f>"644020240518003126186196"</f>
        <v>644020240518003126186196</v>
      </c>
      <c r="F6781" s="9"/>
    </row>
    <row r="6782" s="2" customFormat="1" ht="30" customHeight="1" spans="1:6">
      <c r="A6782" s="9">
        <v>6779</v>
      </c>
      <c r="B6782" s="10" t="s">
        <v>4840</v>
      </c>
      <c r="C6782" s="10" t="s">
        <v>4841</v>
      </c>
      <c r="D6782" s="10" t="s">
        <v>4785</v>
      </c>
      <c r="E6782" s="10" t="str">
        <f>"644020240518005710186225"</f>
        <v>644020240518005710186225</v>
      </c>
      <c r="F6782" s="9"/>
    </row>
    <row r="6783" s="2" customFormat="1" ht="30" customHeight="1" spans="1:6">
      <c r="A6783" s="9">
        <v>6780</v>
      </c>
      <c r="B6783" s="10" t="s">
        <v>4840</v>
      </c>
      <c r="C6783" s="10" t="s">
        <v>4841</v>
      </c>
      <c r="D6783" s="10" t="s">
        <v>6523</v>
      </c>
      <c r="E6783" s="10" t="str">
        <f>"644020240517162927185648"</f>
        <v>644020240517162927185648</v>
      </c>
      <c r="F6783" s="9"/>
    </row>
    <row r="6784" s="2" customFormat="1" ht="30" customHeight="1" spans="1:6">
      <c r="A6784" s="9">
        <v>6781</v>
      </c>
      <c r="B6784" s="10" t="s">
        <v>4840</v>
      </c>
      <c r="C6784" s="10" t="s">
        <v>4841</v>
      </c>
      <c r="D6784" s="10" t="s">
        <v>6524</v>
      </c>
      <c r="E6784" s="10" t="str">
        <f>"644020240518010919186237"</f>
        <v>644020240518010919186237</v>
      </c>
      <c r="F6784" s="9"/>
    </row>
    <row r="6785" s="2" customFormat="1" ht="30" customHeight="1" spans="1:6">
      <c r="A6785" s="9">
        <v>6782</v>
      </c>
      <c r="B6785" s="10" t="s">
        <v>4840</v>
      </c>
      <c r="C6785" s="10" t="s">
        <v>4841</v>
      </c>
      <c r="D6785" s="10" t="s">
        <v>6525</v>
      </c>
      <c r="E6785" s="10" t="str">
        <f>"644020240518012350186247"</f>
        <v>644020240518012350186247</v>
      </c>
      <c r="F6785" s="9"/>
    </row>
    <row r="6786" s="2" customFormat="1" ht="30" customHeight="1" spans="1:6">
      <c r="A6786" s="9">
        <v>6783</v>
      </c>
      <c r="B6786" s="10" t="s">
        <v>4840</v>
      </c>
      <c r="C6786" s="10" t="s">
        <v>4841</v>
      </c>
      <c r="D6786" s="10" t="s">
        <v>6526</v>
      </c>
      <c r="E6786" s="10" t="str">
        <f>"644020240518001337186168"</f>
        <v>644020240518001337186168</v>
      </c>
      <c r="F6786" s="9"/>
    </row>
    <row r="6787" s="2" customFormat="1" ht="30" customHeight="1" spans="1:6">
      <c r="A6787" s="9">
        <v>6784</v>
      </c>
      <c r="B6787" s="10" t="s">
        <v>4840</v>
      </c>
      <c r="C6787" s="10" t="s">
        <v>4841</v>
      </c>
      <c r="D6787" s="10" t="s">
        <v>6527</v>
      </c>
      <c r="E6787" s="10" t="str">
        <f>"644020240517164332185676"</f>
        <v>644020240517164332185676</v>
      </c>
      <c r="F6787" s="9"/>
    </row>
    <row r="6788" s="2" customFormat="1" ht="30" customHeight="1" spans="1:6">
      <c r="A6788" s="9">
        <v>6785</v>
      </c>
      <c r="B6788" s="10" t="s">
        <v>4840</v>
      </c>
      <c r="C6788" s="10" t="s">
        <v>4841</v>
      </c>
      <c r="D6788" s="10" t="s">
        <v>6528</v>
      </c>
      <c r="E6788" s="10" t="str">
        <f>"644020240516001958182658"</f>
        <v>644020240516001958182658</v>
      </c>
      <c r="F6788" s="9"/>
    </row>
    <row r="6789" s="2" customFormat="1" ht="30" customHeight="1" spans="1:6">
      <c r="A6789" s="9">
        <v>6786</v>
      </c>
      <c r="B6789" s="10" t="s">
        <v>4840</v>
      </c>
      <c r="C6789" s="10" t="s">
        <v>4841</v>
      </c>
      <c r="D6789" s="10" t="s">
        <v>6529</v>
      </c>
      <c r="E6789" s="10" t="str">
        <f>"644020240518013025186252"</f>
        <v>644020240518013025186252</v>
      </c>
      <c r="F6789" s="9"/>
    </row>
    <row r="6790" s="2" customFormat="1" ht="30" customHeight="1" spans="1:6">
      <c r="A6790" s="9">
        <v>6787</v>
      </c>
      <c r="B6790" s="10" t="s">
        <v>4840</v>
      </c>
      <c r="C6790" s="10" t="s">
        <v>4841</v>
      </c>
      <c r="D6790" s="10" t="s">
        <v>6530</v>
      </c>
      <c r="E6790" s="10" t="str">
        <f>"644020240518015056186264"</f>
        <v>644020240518015056186264</v>
      </c>
      <c r="F6790" s="9"/>
    </row>
    <row r="6791" s="2" customFormat="1" ht="30" customHeight="1" spans="1:6">
      <c r="A6791" s="9">
        <v>6788</v>
      </c>
      <c r="B6791" s="10" t="s">
        <v>4840</v>
      </c>
      <c r="C6791" s="10" t="s">
        <v>4841</v>
      </c>
      <c r="D6791" s="10" t="s">
        <v>6531</v>
      </c>
      <c r="E6791" s="10" t="str">
        <f>"644020240518023920186281"</f>
        <v>644020240518023920186281</v>
      </c>
      <c r="F6791" s="9"/>
    </row>
    <row r="6792" s="2" customFormat="1" ht="30" customHeight="1" spans="1:6">
      <c r="A6792" s="9">
        <v>6789</v>
      </c>
      <c r="B6792" s="10" t="s">
        <v>4840</v>
      </c>
      <c r="C6792" s="10" t="s">
        <v>4841</v>
      </c>
      <c r="D6792" s="10" t="s">
        <v>6532</v>
      </c>
      <c r="E6792" s="10" t="str">
        <f>"644020240518024654186283"</f>
        <v>644020240518024654186283</v>
      </c>
      <c r="F6792" s="9"/>
    </row>
    <row r="6793" s="2" customFormat="1" ht="30" customHeight="1" spans="1:6">
      <c r="A6793" s="9">
        <v>6790</v>
      </c>
      <c r="B6793" s="10" t="s">
        <v>4840</v>
      </c>
      <c r="C6793" s="10" t="s">
        <v>4841</v>
      </c>
      <c r="D6793" s="10" t="s">
        <v>6533</v>
      </c>
      <c r="E6793" s="10" t="str">
        <f>"644020240518030417186290"</f>
        <v>644020240518030417186290</v>
      </c>
      <c r="F6793" s="9"/>
    </row>
    <row r="6794" s="2" customFormat="1" ht="30" customHeight="1" spans="1:6">
      <c r="A6794" s="9">
        <v>6791</v>
      </c>
      <c r="B6794" s="10" t="s">
        <v>4840</v>
      </c>
      <c r="C6794" s="10" t="s">
        <v>4841</v>
      </c>
      <c r="D6794" s="10" t="s">
        <v>6534</v>
      </c>
      <c r="E6794" s="10" t="str">
        <f>"644020240518024118186282"</f>
        <v>644020240518024118186282</v>
      </c>
      <c r="F6794" s="9"/>
    </row>
    <row r="6795" s="2" customFormat="1" ht="30" customHeight="1" spans="1:6">
      <c r="A6795" s="9">
        <v>6792</v>
      </c>
      <c r="B6795" s="10" t="s">
        <v>4840</v>
      </c>
      <c r="C6795" s="10" t="s">
        <v>4841</v>
      </c>
      <c r="D6795" s="10" t="s">
        <v>6535</v>
      </c>
      <c r="E6795" s="10" t="str">
        <f>"644020240518035828186301"</f>
        <v>644020240518035828186301</v>
      </c>
      <c r="F6795" s="9"/>
    </row>
    <row r="6796" s="2" customFormat="1" ht="30" customHeight="1" spans="1:6">
      <c r="A6796" s="9">
        <v>6793</v>
      </c>
      <c r="B6796" s="10" t="s">
        <v>4840</v>
      </c>
      <c r="C6796" s="10" t="s">
        <v>4841</v>
      </c>
      <c r="D6796" s="10" t="s">
        <v>6536</v>
      </c>
      <c r="E6796" s="10" t="str">
        <f>"644020240517004543184511"</f>
        <v>644020240517004543184511</v>
      </c>
      <c r="F6796" s="9"/>
    </row>
    <row r="6797" s="2" customFormat="1" ht="30" customHeight="1" spans="1:6">
      <c r="A6797" s="9">
        <v>6794</v>
      </c>
      <c r="B6797" s="10" t="s">
        <v>4840</v>
      </c>
      <c r="C6797" s="10" t="s">
        <v>4841</v>
      </c>
      <c r="D6797" s="10" t="s">
        <v>6537</v>
      </c>
      <c r="E6797" s="10" t="str">
        <f>"644020240518060352186315"</f>
        <v>644020240518060352186315</v>
      </c>
      <c r="F6797" s="9"/>
    </row>
    <row r="6798" s="2" customFormat="1" ht="30" customHeight="1" spans="1:6">
      <c r="A6798" s="9">
        <v>6795</v>
      </c>
      <c r="B6798" s="10" t="s">
        <v>4840</v>
      </c>
      <c r="C6798" s="10" t="s">
        <v>4841</v>
      </c>
      <c r="D6798" s="10" t="s">
        <v>6538</v>
      </c>
      <c r="E6798" s="10" t="str">
        <f>"644020240518061724186317"</f>
        <v>644020240518061724186317</v>
      </c>
      <c r="F6798" s="9"/>
    </row>
    <row r="6799" s="2" customFormat="1" ht="30" customHeight="1" spans="1:6">
      <c r="A6799" s="9">
        <v>6796</v>
      </c>
      <c r="B6799" s="10" t="s">
        <v>4840</v>
      </c>
      <c r="C6799" s="10" t="s">
        <v>4841</v>
      </c>
      <c r="D6799" s="10" t="s">
        <v>6539</v>
      </c>
      <c r="E6799" s="10" t="str">
        <f>"644020240518063021186322"</f>
        <v>644020240518063021186322</v>
      </c>
      <c r="F6799" s="9"/>
    </row>
    <row r="6800" s="2" customFormat="1" ht="30" customHeight="1" spans="1:6">
      <c r="A6800" s="9">
        <v>6797</v>
      </c>
      <c r="B6800" s="10" t="s">
        <v>4840</v>
      </c>
      <c r="C6800" s="10" t="s">
        <v>4841</v>
      </c>
      <c r="D6800" s="10" t="s">
        <v>6540</v>
      </c>
      <c r="E6800" s="10" t="str">
        <f>"644020240516215502184199"</f>
        <v>644020240516215502184199</v>
      </c>
      <c r="F6800" s="9"/>
    </row>
    <row r="6801" s="2" customFormat="1" ht="30" customHeight="1" spans="1:6">
      <c r="A6801" s="9">
        <v>6798</v>
      </c>
      <c r="B6801" s="10" t="s">
        <v>4840</v>
      </c>
      <c r="C6801" s="10" t="s">
        <v>4841</v>
      </c>
      <c r="D6801" s="10" t="s">
        <v>6541</v>
      </c>
      <c r="E6801" s="10" t="str">
        <f>"644020240518075653186362"</f>
        <v>644020240518075653186362</v>
      </c>
      <c r="F6801" s="9"/>
    </row>
    <row r="6802" s="2" customFormat="1" ht="30" customHeight="1" spans="1:6">
      <c r="A6802" s="9">
        <v>6799</v>
      </c>
      <c r="B6802" s="10" t="s">
        <v>4840</v>
      </c>
      <c r="C6802" s="10" t="s">
        <v>4841</v>
      </c>
      <c r="D6802" s="10" t="s">
        <v>6542</v>
      </c>
      <c r="E6802" s="10" t="str">
        <f>"644020240518080248186367"</f>
        <v>644020240518080248186367</v>
      </c>
      <c r="F6802" s="9"/>
    </row>
    <row r="6803" s="2" customFormat="1" ht="30" customHeight="1" spans="1:6">
      <c r="A6803" s="9">
        <v>6800</v>
      </c>
      <c r="B6803" s="10" t="s">
        <v>4840</v>
      </c>
      <c r="C6803" s="10" t="s">
        <v>4841</v>
      </c>
      <c r="D6803" s="10" t="s">
        <v>6543</v>
      </c>
      <c r="E6803" s="10" t="str">
        <f>"644020240518073322186344"</f>
        <v>644020240518073322186344</v>
      </c>
      <c r="F6803" s="9"/>
    </row>
    <row r="6804" s="2" customFormat="1" ht="30" customHeight="1" spans="1:6">
      <c r="A6804" s="9">
        <v>6801</v>
      </c>
      <c r="B6804" s="10" t="s">
        <v>4840</v>
      </c>
      <c r="C6804" s="10" t="s">
        <v>4841</v>
      </c>
      <c r="D6804" s="10" t="s">
        <v>6544</v>
      </c>
      <c r="E6804" s="10" t="str">
        <f>"644020240518074044186349"</f>
        <v>644020240518074044186349</v>
      </c>
      <c r="F6804" s="9"/>
    </row>
    <row r="6805" s="2" customFormat="1" ht="30" customHeight="1" spans="1:6">
      <c r="A6805" s="9">
        <v>6802</v>
      </c>
      <c r="B6805" s="10" t="s">
        <v>4840</v>
      </c>
      <c r="C6805" s="10" t="s">
        <v>4841</v>
      </c>
      <c r="D6805" s="10" t="s">
        <v>6545</v>
      </c>
      <c r="E6805" s="10" t="str">
        <f>"644020240518073154186342"</f>
        <v>644020240518073154186342</v>
      </c>
      <c r="F6805" s="9"/>
    </row>
    <row r="6806" s="2" customFormat="1" ht="30" customHeight="1" spans="1:6">
      <c r="A6806" s="9">
        <v>6803</v>
      </c>
      <c r="B6806" s="10" t="s">
        <v>4840</v>
      </c>
      <c r="C6806" s="10" t="s">
        <v>4841</v>
      </c>
      <c r="D6806" s="10" t="s">
        <v>6546</v>
      </c>
      <c r="E6806" s="10" t="str">
        <f>"644020240515165112181930"</f>
        <v>644020240515165112181930</v>
      </c>
      <c r="F6806" s="9"/>
    </row>
    <row r="6807" s="2" customFormat="1" ht="30" customHeight="1" spans="1:6">
      <c r="A6807" s="9">
        <v>6804</v>
      </c>
      <c r="B6807" s="10" t="s">
        <v>4840</v>
      </c>
      <c r="C6807" s="10" t="s">
        <v>4841</v>
      </c>
      <c r="D6807" s="10" t="s">
        <v>6547</v>
      </c>
      <c r="E6807" s="10" t="str">
        <f>"644020240518080529186369"</f>
        <v>644020240518080529186369</v>
      </c>
      <c r="F6807" s="9"/>
    </row>
    <row r="6808" s="2" customFormat="1" ht="30" customHeight="1" spans="1:6">
      <c r="A6808" s="9">
        <v>6805</v>
      </c>
      <c r="B6808" s="10" t="s">
        <v>4840</v>
      </c>
      <c r="C6808" s="10" t="s">
        <v>4841</v>
      </c>
      <c r="D6808" s="10" t="s">
        <v>6548</v>
      </c>
      <c r="E6808" s="10" t="str">
        <f>"644020240517152416185490"</f>
        <v>644020240517152416185490</v>
      </c>
      <c r="F6808" s="9"/>
    </row>
    <row r="6809" s="2" customFormat="1" ht="30" customHeight="1" spans="1:6">
      <c r="A6809" s="9">
        <v>6806</v>
      </c>
      <c r="B6809" s="10" t="s">
        <v>4840</v>
      </c>
      <c r="C6809" s="10" t="s">
        <v>4841</v>
      </c>
      <c r="D6809" s="10" t="s">
        <v>6549</v>
      </c>
      <c r="E6809" s="10" t="str">
        <f>"644020240518082726186399"</f>
        <v>644020240518082726186399</v>
      </c>
      <c r="F6809" s="9"/>
    </row>
    <row r="6810" s="2" customFormat="1" ht="30" customHeight="1" spans="1:6">
      <c r="A6810" s="9">
        <v>6807</v>
      </c>
      <c r="B6810" s="10" t="s">
        <v>4840</v>
      </c>
      <c r="C6810" s="10" t="s">
        <v>4841</v>
      </c>
      <c r="D6810" s="10" t="s">
        <v>6550</v>
      </c>
      <c r="E6810" s="10" t="str">
        <f>"644020240518082848186401"</f>
        <v>644020240518082848186401</v>
      </c>
      <c r="F6810" s="9"/>
    </row>
    <row r="6811" s="2" customFormat="1" ht="30" customHeight="1" spans="1:6">
      <c r="A6811" s="9">
        <v>6808</v>
      </c>
      <c r="B6811" s="10" t="s">
        <v>4840</v>
      </c>
      <c r="C6811" s="10" t="s">
        <v>4841</v>
      </c>
      <c r="D6811" s="10" t="s">
        <v>6551</v>
      </c>
      <c r="E6811" s="10" t="str">
        <f>"644020240517163643185664"</f>
        <v>644020240517163643185664</v>
      </c>
      <c r="F6811" s="9"/>
    </row>
    <row r="6812" s="2" customFormat="1" ht="30" customHeight="1" spans="1:6">
      <c r="A6812" s="9">
        <v>6809</v>
      </c>
      <c r="B6812" s="10" t="s">
        <v>4840</v>
      </c>
      <c r="C6812" s="10" t="s">
        <v>4841</v>
      </c>
      <c r="D6812" s="10" t="s">
        <v>6552</v>
      </c>
      <c r="E6812" s="10" t="str">
        <f>"644020240517150838185443"</f>
        <v>644020240517150838185443</v>
      </c>
      <c r="F6812" s="9"/>
    </row>
    <row r="6813" s="2" customFormat="1" ht="30" customHeight="1" spans="1:6">
      <c r="A6813" s="9">
        <v>6810</v>
      </c>
      <c r="B6813" s="10" t="s">
        <v>4840</v>
      </c>
      <c r="C6813" s="10" t="s">
        <v>4841</v>
      </c>
      <c r="D6813" s="10" t="s">
        <v>6553</v>
      </c>
      <c r="E6813" s="10" t="str">
        <f>"644020240517215602186045"</f>
        <v>644020240517215602186045</v>
      </c>
      <c r="F6813" s="9"/>
    </row>
    <row r="6814" s="2" customFormat="1" ht="30" customHeight="1" spans="1:6">
      <c r="A6814" s="9">
        <v>6811</v>
      </c>
      <c r="B6814" s="10" t="s">
        <v>4840</v>
      </c>
      <c r="C6814" s="10" t="s">
        <v>4841</v>
      </c>
      <c r="D6814" s="10" t="s">
        <v>6554</v>
      </c>
      <c r="E6814" s="10" t="str">
        <f>"644020240517165809185698"</f>
        <v>644020240517165809185698</v>
      </c>
      <c r="F6814" s="9"/>
    </row>
    <row r="6815" s="2" customFormat="1" ht="30" customHeight="1" spans="1:6">
      <c r="A6815" s="9">
        <v>6812</v>
      </c>
      <c r="B6815" s="10" t="s">
        <v>4840</v>
      </c>
      <c r="C6815" s="10" t="s">
        <v>4841</v>
      </c>
      <c r="D6815" s="10" t="s">
        <v>6555</v>
      </c>
      <c r="E6815" s="10" t="str">
        <f>"644020240518012321186246"</f>
        <v>644020240518012321186246</v>
      </c>
      <c r="F6815" s="9"/>
    </row>
    <row r="6816" s="2" customFormat="1" ht="30" customHeight="1" spans="1:6">
      <c r="A6816" s="9">
        <v>6813</v>
      </c>
      <c r="B6816" s="10" t="s">
        <v>4840</v>
      </c>
      <c r="C6816" s="10" t="s">
        <v>4841</v>
      </c>
      <c r="D6816" s="10" t="s">
        <v>6556</v>
      </c>
      <c r="E6816" s="10" t="str">
        <f>"644020240517155034185569"</f>
        <v>644020240517155034185569</v>
      </c>
      <c r="F6816" s="9"/>
    </row>
    <row r="6817" s="2" customFormat="1" ht="30" customHeight="1" spans="1:6">
      <c r="A6817" s="9">
        <v>6814</v>
      </c>
      <c r="B6817" s="10" t="s">
        <v>4840</v>
      </c>
      <c r="C6817" s="10" t="s">
        <v>4841</v>
      </c>
      <c r="D6817" s="10" t="s">
        <v>6557</v>
      </c>
      <c r="E6817" s="10" t="str">
        <f>"644020240515142734181558"</f>
        <v>644020240515142734181558</v>
      </c>
      <c r="F6817" s="9"/>
    </row>
    <row r="6818" s="2" customFormat="1" ht="30" customHeight="1" spans="1:6">
      <c r="A6818" s="9">
        <v>6815</v>
      </c>
      <c r="B6818" s="10" t="s">
        <v>4840</v>
      </c>
      <c r="C6818" s="10" t="s">
        <v>4841</v>
      </c>
      <c r="D6818" s="10" t="s">
        <v>6558</v>
      </c>
      <c r="E6818" s="10" t="str">
        <f>"644020240518082656186396"</f>
        <v>644020240518082656186396</v>
      </c>
      <c r="F6818" s="9"/>
    </row>
    <row r="6819" s="2" customFormat="1" ht="30" customHeight="1" spans="1:6">
      <c r="A6819" s="9">
        <v>6816</v>
      </c>
      <c r="B6819" s="10" t="s">
        <v>4840</v>
      </c>
      <c r="C6819" s="10" t="s">
        <v>4841</v>
      </c>
      <c r="D6819" s="10" t="s">
        <v>6559</v>
      </c>
      <c r="E6819" s="10" t="str">
        <f>"644020240518091718186478"</f>
        <v>644020240518091718186478</v>
      </c>
      <c r="F6819" s="9"/>
    </row>
    <row r="6820" s="2" customFormat="1" ht="30" customHeight="1" spans="1:6">
      <c r="A6820" s="9">
        <v>6817</v>
      </c>
      <c r="B6820" s="10" t="s">
        <v>4840</v>
      </c>
      <c r="C6820" s="10" t="s">
        <v>4841</v>
      </c>
      <c r="D6820" s="10" t="s">
        <v>6560</v>
      </c>
      <c r="E6820" s="10" t="str">
        <f>"644020240518092131186485"</f>
        <v>644020240518092131186485</v>
      </c>
      <c r="F6820" s="9"/>
    </row>
    <row r="6821" s="2" customFormat="1" ht="30" customHeight="1" spans="1:6">
      <c r="A6821" s="9">
        <v>6818</v>
      </c>
      <c r="B6821" s="10" t="s">
        <v>4840</v>
      </c>
      <c r="C6821" s="10" t="s">
        <v>4841</v>
      </c>
      <c r="D6821" s="10" t="s">
        <v>832</v>
      </c>
      <c r="E6821" s="10" t="str">
        <f>"644020240517140856185325"</f>
        <v>644020240517140856185325</v>
      </c>
      <c r="F6821" s="9"/>
    </row>
    <row r="6822" s="2" customFormat="1" ht="30" customHeight="1" spans="1:6">
      <c r="A6822" s="9">
        <v>6819</v>
      </c>
      <c r="B6822" s="10" t="s">
        <v>4840</v>
      </c>
      <c r="C6822" s="10" t="s">
        <v>4841</v>
      </c>
      <c r="D6822" s="10" t="s">
        <v>6561</v>
      </c>
      <c r="E6822" s="10" t="str">
        <f>"644020240518092004186480"</f>
        <v>644020240518092004186480</v>
      </c>
      <c r="F6822" s="9"/>
    </row>
    <row r="6823" s="2" customFormat="1" ht="30" customHeight="1" spans="1:6">
      <c r="A6823" s="9">
        <v>6820</v>
      </c>
      <c r="B6823" s="10" t="s">
        <v>4840</v>
      </c>
      <c r="C6823" s="10" t="s">
        <v>4841</v>
      </c>
      <c r="D6823" s="10" t="s">
        <v>6562</v>
      </c>
      <c r="E6823" s="10" t="str">
        <f>"644020240518085618186437"</f>
        <v>644020240518085618186437</v>
      </c>
      <c r="F6823" s="9"/>
    </row>
    <row r="6824" s="2" customFormat="1" ht="30" customHeight="1" spans="1:6">
      <c r="A6824" s="9">
        <v>6821</v>
      </c>
      <c r="B6824" s="10" t="s">
        <v>4840</v>
      </c>
      <c r="C6824" s="10" t="s">
        <v>4841</v>
      </c>
      <c r="D6824" s="10" t="s">
        <v>6563</v>
      </c>
      <c r="E6824" s="10" t="str">
        <f>"644020240517235857186152"</f>
        <v>644020240517235857186152</v>
      </c>
      <c r="F6824" s="9"/>
    </row>
    <row r="6825" s="2" customFormat="1" ht="30" customHeight="1" spans="1:6">
      <c r="A6825" s="9">
        <v>6822</v>
      </c>
      <c r="B6825" s="10" t="s">
        <v>4840</v>
      </c>
      <c r="C6825" s="10" t="s">
        <v>4841</v>
      </c>
      <c r="D6825" s="10" t="s">
        <v>6564</v>
      </c>
      <c r="E6825" s="10" t="str">
        <f>"644020240518093119186506"</f>
        <v>644020240518093119186506</v>
      </c>
      <c r="F6825" s="9"/>
    </row>
    <row r="6826" s="2" customFormat="1" ht="30" customHeight="1" spans="1:6">
      <c r="A6826" s="9">
        <v>6823</v>
      </c>
      <c r="B6826" s="10" t="s">
        <v>4840</v>
      </c>
      <c r="C6826" s="10" t="s">
        <v>4841</v>
      </c>
      <c r="D6826" s="10" t="s">
        <v>4924</v>
      </c>
      <c r="E6826" s="10" t="str">
        <f>"644020240518091700186476"</f>
        <v>644020240518091700186476</v>
      </c>
      <c r="F6826" s="9"/>
    </row>
    <row r="6827" s="2" customFormat="1" ht="30" customHeight="1" spans="1:6">
      <c r="A6827" s="9">
        <v>6824</v>
      </c>
      <c r="B6827" s="10" t="s">
        <v>4840</v>
      </c>
      <c r="C6827" s="10" t="s">
        <v>4841</v>
      </c>
      <c r="D6827" s="10" t="s">
        <v>6565</v>
      </c>
      <c r="E6827" s="10" t="str">
        <f>"644020240518092056186484"</f>
        <v>644020240518092056186484</v>
      </c>
      <c r="F6827" s="9"/>
    </row>
    <row r="6828" s="2" customFormat="1" ht="30" customHeight="1" spans="1:6">
      <c r="A6828" s="9">
        <v>6825</v>
      </c>
      <c r="B6828" s="10" t="s">
        <v>4840</v>
      </c>
      <c r="C6828" s="10" t="s">
        <v>4841</v>
      </c>
      <c r="D6828" s="10" t="s">
        <v>6566</v>
      </c>
      <c r="E6828" s="10" t="str">
        <f>"644020240518074654186353"</f>
        <v>644020240518074654186353</v>
      </c>
      <c r="F6828" s="9"/>
    </row>
    <row r="6829" s="2" customFormat="1" ht="30" customHeight="1" spans="1:6">
      <c r="A6829" s="9">
        <v>6826</v>
      </c>
      <c r="B6829" s="10" t="s">
        <v>4840</v>
      </c>
      <c r="C6829" s="10" t="s">
        <v>4841</v>
      </c>
      <c r="D6829" s="10" t="s">
        <v>6567</v>
      </c>
      <c r="E6829" s="10" t="str">
        <f>"644020240518092717186498"</f>
        <v>644020240518092717186498</v>
      </c>
      <c r="F6829" s="9"/>
    </row>
    <row r="6830" s="2" customFormat="1" ht="30" customHeight="1" spans="1:6">
      <c r="A6830" s="9">
        <v>6827</v>
      </c>
      <c r="B6830" s="10" t="s">
        <v>4840</v>
      </c>
      <c r="C6830" s="10" t="s">
        <v>4841</v>
      </c>
      <c r="D6830" s="10" t="s">
        <v>6568</v>
      </c>
      <c r="E6830" s="10" t="str">
        <f>"644020240518081638186382"</f>
        <v>644020240518081638186382</v>
      </c>
      <c r="F6830" s="9"/>
    </row>
    <row r="6831" s="2" customFormat="1" ht="30" customHeight="1" spans="1:6">
      <c r="A6831" s="9">
        <v>6828</v>
      </c>
      <c r="B6831" s="10" t="s">
        <v>4840</v>
      </c>
      <c r="C6831" s="10" t="s">
        <v>4841</v>
      </c>
      <c r="D6831" s="10" t="s">
        <v>6569</v>
      </c>
      <c r="E6831" s="10" t="str">
        <f>"644020240517190440185870"</f>
        <v>644020240517190440185870</v>
      </c>
      <c r="F6831" s="9"/>
    </row>
    <row r="6832" s="2" customFormat="1" ht="30" customHeight="1" spans="1:6">
      <c r="A6832" s="9">
        <v>6829</v>
      </c>
      <c r="B6832" s="10" t="s">
        <v>4840</v>
      </c>
      <c r="C6832" s="10" t="s">
        <v>4841</v>
      </c>
      <c r="D6832" s="10" t="s">
        <v>6570</v>
      </c>
      <c r="E6832" s="10" t="str">
        <f>"644020240518085253186432"</f>
        <v>644020240518085253186432</v>
      </c>
      <c r="F6832" s="9"/>
    </row>
    <row r="6833" s="2" customFormat="1" ht="30" customHeight="1" spans="1:6">
      <c r="A6833" s="9">
        <v>6830</v>
      </c>
      <c r="B6833" s="10" t="s">
        <v>4840</v>
      </c>
      <c r="C6833" s="10" t="s">
        <v>4841</v>
      </c>
      <c r="D6833" s="10" t="s">
        <v>6571</v>
      </c>
      <c r="E6833" s="10" t="str">
        <f>"644020240516084418182791"</f>
        <v>644020240516084418182791</v>
      </c>
      <c r="F6833" s="9"/>
    </row>
    <row r="6834" s="2" customFormat="1" ht="30" customHeight="1" spans="1:6">
      <c r="A6834" s="9">
        <v>6831</v>
      </c>
      <c r="B6834" s="10" t="s">
        <v>4840</v>
      </c>
      <c r="C6834" s="10" t="s">
        <v>4841</v>
      </c>
      <c r="D6834" s="10" t="s">
        <v>6572</v>
      </c>
      <c r="E6834" s="10" t="str">
        <f>"644020240518092052186483"</f>
        <v>644020240518092052186483</v>
      </c>
      <c r="F6834" s="9"/>
    </row>
    <row r="6835" s="2" customFormat="1" ht="30" customHeight="1" spans="1:6">
      <c r="A6835" s="9">
        <v>6832</v>
      </c>
      <c r="B6835" s="10" t="s">
        <v>4840</v>
      </c>
      <c r="C6835" s="10" t="s">
        <v>4841</v>
      </c>
      <c r="D6835" s="10" t="s">
        <v>1244</v>
      </c>
      <c r="E6835" s="10" t="str">
        <f>"644020240518001039186163"</f>
        <v>644020240518001039186163</v>
      </c>
      <c r="F6835" s="9"/>
    </row>
    <row r="6836" s="2" customFormat="1" ht="30" customHeight="1" spans="1:6">
      <c r="A6836" s="9">
        <v>6833</v>
      </c>
      <c r="B6836" s="10" t="s">
        <v>4840</v>
      </c>
      <c r="C6836" s="10" t="s">
        <v>4841</v>
      </c>
      <c r="D6836" s="10" t="s">
        <v>6573</v>
      </c>
      <c r="E6836" s="10" t="str">
        <f>"644020240516232018184393"</f>
        <v>644020240516232018184393</v>
      </c>
      <c r="F6836" s="9"/>
    </row>
    <row r="6837" s="2" customFormat="1" ht="30" customHeight="1" spans="1:6">
      <c r="A6837" s="9">
        <v>6834</v>
      </c>
      <c r="B6837" s="10" t="s">
        <v>4840</v>
      </c>
      <c r="C6837" s="10" t="s">
        <v>4841</v>
      </c>
      <c r="D6837" s="10" t="s">
        <v>6574</v>
      </c>
      <c r="E6837" s="10" t="str">
        <f>"644020240518094118186526"</f>
        <v>644020240518094118186526</v>
      </c>
      <c r="F6837" s="9"/>
    </row>
    <row r="6838" s="2" customFormat="1" ht="30" customHeight="1" spans="1:6">
      <c r="A6838" s="9">
        <v>6835</v>
      </c>
      <c r="B6838" s="10" t="s">
        <v>4840</v>
      </c>
      <c r="C6838" s="10" t="s">
        <v>4841</v>
      </c>
      <c r="D6838" s="10" t="s">
        <v>6575</v>
      </c>
      <c r="E6838" s="10" t="str">
        <f>"644020240518094650186540"</f>
        <v>644020240518094650186540</v>
      </c>
      <c r="F6838" s="9"/>
    </row>
    <row r="6839" s="2" customFormat="1" ht="30" customHeight="1" spans="1:6">
      <c r="A6839" s="9">
        <v>6836</v>
      </c>
      <c r="B6839" s="10" t="s">
        <v>4840</v>
      </c>
      <c r="C6839" s="10" t="s">
        <v>4841</v>
      </c>
      <c r="D6839" s="10" t="s">
        <v>6576</v>
      </c>
      <c r="E6839" s="10" t="str">
        <f>"644020240517173538185750"</f>
        <v>644020240517173538185750</v>
      </c>
      <c r="F6839" s="9"/>
    </row>
    <row r="6840" s="2" customFormat="1" ht="30" customHeight="1" spans="1:6">
      <c r="A6840" s="9">
        <v>6837</v>
      </c>
      <c r="B6840" s="10" t="s">
        <v>4840</v>
      </c>
      <c r="C6840" s="10" t="s">
        <v>4841</v>
      </c>
      <c r="D6840" s="10" t="s">
        <v>6577</v>
      </c>
      <c r="E6840" s="10" t="str">
        <f>"644020240518023248186278"</f>
        <v>644020240518023248186278</v>
      </c>
      <c r="F6840" s="9"/>
    </row>
    <row r="6841" s="2" customFormat="1" ht="30" customHeight="1" spans="1:6">
      <c r="A6841" s="9">
        <v>6838</v>
      </c>
      <c r="B6841" s="10" t="s">
        <v>4840</v>
      </c>
      <c r="C6841" s="10" t="s">
        <v>4841</v>
      </c>
      <c r="D6841" s="10" t="s">
        <v>6578</v>
      </c>
      <c r="E6841" s="10" t="str">
        <f>"644020240516154921183589"</f>
        <v>644020240516154921183589</v>
      </c>
      <c r="F6841" s="9"/>
    </row>
    <row r="6842" s="2" customFormat="1" ht="30" customHeight="1" spans="1:6">
      <c r="A6842" s="9">
        <v>6839</v>
      </c>
      <c r="B6842" s="10" t="s">
        <v>4840</v>
      </c>
      <c r="C6842" s="10" t="s">
        <v>4841</v>
      </c>
      <c r="D6842" s="10" t="s">
        <v>6579</v>
      </c>
      <c r="E6842" s="10" t="str">
        <f>"644020240518095009186550"</f>
        <v>644020240518095009186550</v>
      </c>
      <c r="F6842" s="9"/>
    </row>
    <row r="6843" s="2" customFormat="1" ht="30" customHeight="1" spans="1:6">
      <c r="A6843" s="9">
        <v>6840</v>
      </c>
      <c r="B6843" s="10" t="s">
        <v>4840</v>
      </c>
      <c r="C6843" s="10" t="s">
        <v>4841</v>
      </c>
      <c r="D6843" s="10" t="s">
        <v>6580</v>
      </c>
      <c r="E6843" s="10" t="str">
        <f>"644020240518094230186530"</f>
        <v>644020240518094230186530</v>
      </c>
      <c r="F6843" s="9"/>
    </row>
    <row r="6844" s="2" customFormat="1" ht="30" customHeight="1" spans="1:6">
      <c r="A6844" s="9">
        <v>6841</v>
      </c>
      <c r="B6844" s="10" t="s">
        <v>4840</v>
      </c>
      <c r="C6844" s="10" t="s">
        <v>4841</v>
      </c>
      <c r="D6844" s="10" t="s">
        <v>6581</v>
      </c>
      <c r="E6844" s="10" t="str">
        <f>"644020240517210951185968"</f>
        <v>644020240517210951185968</v>
      </c>
      <c r="F6844" s="9"/>
    </row>
    <row r="6845" s="2" customFormat="1" ht="30" customHeight="1" spans="1:6">
      <c r="A6845" s="9">
        <v>6842</v>
      </c>
      <c r="B6845" s="10" t="s">
        <v>4840</v>
      </c>
      <c r="C6845" s="10" t="s">
        <v>4841</v>
      </c>
      <c r="D6845" s="10" t="s">
        <v>6582</v>
      </c>
      <c r="E6845" s="10" t="str">
        <f>"644020240515234938182609"</f>
        <v>644020240515234938182609</v>
      </c>
      <c r="F6845" s="9"/>
    </row>
    <row r="6846" s="2" customFormat="1" ht="30" customHeight="1" spans="1:6">
      <c r="A6846" s="9">
        <v>6843</v>
      </c>
      <c r="B6846" s="10" t="s">
        <v>4840</v>
      </c>
      <c r="C6846" s="10" t="s">
        <v>4841</v>
      </c>
      <c r="D6846" s="10" t="s">
        <v>6583</v>
      </c>
      <c r="E6846" s="10" t="str">
        <f>"644020240518094947186547"</f>
        <v>644020240518094947186547</v>
      </c>
      <c r="F6846" s="9"/>
    </row>
    <row r="6847" s="2" customFormat="1" ht="30" customHeight="1" spans="1:6">
      <c r="A6847" s="9">
        <v>6844</v>
      </c>
      <c r="B6847" s="10" t="s">
        <v>4840</v>
      </c>
      <c r="C6847" s="10" t="s">
        <v>4841</v>
      </c>
      <c r="D6847" s="10" t="s">
        <v>6584</v>
      </c>
      <c r="E6847" s="10" t="str">
        <f>"644020240518100109186574"</f>
        <v>644020240518100109186574</v>
      </c>
      <c r="F6847" s="9"/>
    </row>
    <row r="6848" s="2" customFormat="1" ht="30" customHeight="1" spans="1:6">
      <c r="A6848" s="9">
        <v>6845</v>
      </c>
      <c r="B6848" s="10" t="s">
        <v>4840</v>
      </c>
      <c r="C6848" s="10" t="s">
        <v>4841</v>
      </c>
      <c r="D6848" s="10" t="s">
        <v>6585</v>
      </c>
      <c r="E6848" s="10" t="str">
        <f>"644020240516120016183225"</f>
        <v>644020240516120016183225</v>
      </c>
      <c r="F6848" s="9"/>
    </row>
    <row r="6849" s="2" customFormat="1" ht="30" customHeight="1" spans="1:6">
      <c r="A6849" s="9">
        <v>6846</v>
      </c>
      <c r="B6849" s="10" t="s">
        <v>4840</v>
      </c>
      <c r="C6849" s="10" t="s">
        <v>4841</v>
      </c>
      <c r="D6849" s="10" t="s">
        <v>6586</v>
      </c>
      <c r="E6849" s="10" t="str">
        <f>"644020240518101301186598"</f>
        <v>644020240518101301186598</v>
      </c>
      <c r="F6849" s="9"/>
    </row>
    <row r="6850" s="2" customFormat="1" ht="30" customHeight="1" spans="1:6">
      <c r="A6850" s="9">
        <v>6847</v>
      </c>
      <c r="B6850" s="10" t="s">
        <v>4840</v>
      </c>
      <c r="C6850" s="10" t="s">
        <v>4841</v>
      </c>
      <c r="D6850" s="10" t="s">
        <v>6587</v>
      </c>
      <c r="E6850" s="10" t="str">
        <f>"644020240518091715186477"</f>
        <v>644020240518091715186477</v>
      </c>
      <c r="F6850" s="9"/>
    </row>
    <row r="6851" s="2" customFormat="1" ht="30" customHeight="1" spans="1:6">
      <c r="A6851" s="9">
        <v>6848</v>
      </c>
      <c r="B6851" s="10" t="s">
        <v>4840</v>
      </c>
      <c r="C6851" s="10" t="s">
        <v>4841</v>
      </c>
      <c r="D6851" s="10" t="s">
        <v>6588</v>
      </c>
      <c r="E6851" s="10" t="str">
        <f>"644020240517195537185922"</f>
        <v>644020240517195537185922</v>
      </c>
      <c r="F6851" s="9"/>
    </row>
    <row r="6852" s="2" customFormat="1" ht="30" customHeight="1" spans="1:6">
      <c r="A6852" s="9">
        <v>6849</v>
      </c>
      <c r="B6852" s="10" t="s">
        <v>4840</v>
      </c>
      <c r="C6852" s="10" t="s">
        <v>4841</v>
      </c>
      <c r="D6852" s="10" t="s">
        <v>6589</v>
      </c>
      <c r="E6852" s="10" t="str">
        <f>"644020240518094036186523"</f>
        <v>644020240518094036186523</v>
      </c>
      <c r="F6852" s="9"/>
    </row>
    <row r="6853" s="2" customFormat="1" ht="30" customHeight="1" spans="1:6">
      <c r="A6853" s="9">
        <v>6850</v>
      </c>
      <c r="B6853" s="10" t="s">
        <v>4840</v>
      </c>
      <c r="C6853" s="10" t="s">
        <v>4841</v>
      </c>
      <c r="D6853" s="10" t="s">
        <v>6590</v>
      </c>
      <c r="E6853" s="10" t="str">
        <f>"644020240518102207186627"</f>
        <v>644020240518102207186627</v>
      </c>
      <c r="F6853" s="9"/>
    </row>
    <row r="6854" s="2" customFormat="1" ht="30" customHeight="1" spans="1:6">
      <c r="A6854" s="9">
        <v>6851</v>
      </c>
      <c r="B6854" s="10" t="s">
        <v>4840</v>
      </c>
      <c r="C6854" s="10" t="s">
        <v>4841</v>
      </c>
      <c r="D6854" s="10" t="s">
        <v>6591</v>
      </c>
      <c r="E6854" s="10" t="str">
        <f>"644020240518101109186592"</f>
        <v>644020240518101109186592</v>
      </c>
      <c r="F6854" s="9"/>
    </row>
    <row r="6855" s="2" customFormat="1" ht="30" customHeight="1" spans="1:6">
      <c r="A6855" s="9">
        <v>6852</v>
      </c>
      <c r="B6855" s="10" t="s">
        <v>4840</v>
      </c>
      <c r="C6855" s="10" t="s">
        <v>4841</v>
      </c>
      <c r="D6855" s="10" t="s">
        <v>6592</v>
      </c>
      <c r="E6855" s="10" t="str">
        <f>"644020240518102351186633"</f>
        <v>644020240518102351186633</v>
      </c>
      <c r="F6855" s="9"/>
    </row>
    <row r="6856" s="2" customFormat="1" ht="30" customHeight="1" spans="1:6">
      <c r="A6856" s="9">
        <v>6853</v>
      </c>
      <c r="B6856" s="10" t="s">
        <v>4840</v>
      </c>
      <c r="C6856" s="10" t="s">
        <v>4841</v>
      </c>
      <c r="D6856" s="10" t="s">
        <v>6451</v>
      </c>
      <c r="E6856" s="10" t="str">
        <f>"644020240518100751186586"</f>
        <v>644020240518100751186586</v>
      </c>
      <c r="F6856" s="9"/>
    </row>
    <row r="6857" s="2" customFormat="1" ht="30" customHeight="1" spans="1:6">
      <c r="A6857" s="9">
        <v>6854</v>
      </c>
      <c r="B6857" s="10" t="s">
        <v>4840</v>
      </c>
      <c r="C6857" s="10" t="s">
        <v>4841</v>
      </c>
      <c r="D6857" s="10" t="s">
        <v>6593</v>
      </c>
      <c r="E6857" s="10" t="str">
        <f>"644020240518093951186521"</f>
        <v>644020240518093951186521</v>
      </c>
      <c r="F6857" s="9"/>
    </row>
    <row r="6858" s="2" customFormat="1" ht="30" customHeight="1" spans="1:6">
      <c r="A6858" s="9">
        <v>6855</v>
      </c>
      <c r="B6858" s="10" t="s">
        <v>4840</v>
      </c>
      <c r="C6858" s="10" t="s">
        <v>4841</v>
      </c>
      <c r="D6858" s="10" t="s">
        <v>6594</v>
      </c>
      <c r="E6858" s="10" t="str">
        <f>"644020240518101755186613"</f>
        <v>644020240518101755186613</v>
      </c>
      <c r="F6858" s="9"/>
    </row>
    <row r="6859" s="2" customFormat="1" ht="30" customHeight="1" spans="1:6">
      <c r="A6859" s="9">
        <v>6856</v>
      </c>
      <c r="B6859" s="10" t="s">
        <v>4840</v>
      </c>
      <c r="C6859" s="10" t="s">
        <v>4841</v>
      </c>
      <c r="D6859" s="10" t="s">
        <v>6595</v>
      </c>
      <c r="E6859" s="10" t="str">
        <f>"644020240518103458186661"</f>
        <v>644020240518103458186661</v>
      </c>
      <c r="F6859" s="9"/>
    </row>
    <row r="6860" s="2" customFormat="1" ht="30" customHeight="1" spans="1:6">
      <c r="A6860" s="9">
        <v>6857</v>
      </c>
      <c r="B6860" s="10" t="s">
        <v>4840</v>
      </c>
      <c r="C6860" s="10" t="s">
        <v>4841</v>
      </c>
      <c r="D6860" s="10" t="s">
        <v>6596</v>
      </c>
      <c r="E6860" s="10" t="str">
        <f>"644020240518102918186642"</f>
        <v>644020240518102918186642</v>
      </c>
      <c r="F6860" s="9"/>
    </row>
    <row r="6861" s="2" customFormat="1" ht="30" customHeight="1" spans="1:6">
      <c r="A6861" s="9">
        <v>6858</v>
      </c>
      <c r="B6861" s="10" t="s">
        <v>4840</v>
      </c>
      <c r="C6861" s="10" t="s">
        <v>4841</v>
      </c>
      <c r="D6861" s="10" t="s">
        <v>286</v>
      </c>
      <c r="E6861" s="10" t="str">
        <f>"644020240518101937186620"</f>
        <v>644020240518101937186620</v>
      </c>
      <c r="F6861" s="9"/>
    </row>
    <row r="6862" s="2" customFormat="1" ht="30" customHeight="1" spans="1:6">
      <c r="A6862" s="9">
        <v>6859</v>
      </c>
      <c r="B6862" s="10" t="s">
        <v>4840</v>
      </c>
      <c r="C6862" s="10" t="s">
        <v>4841</v>
      </c>
      <c r="D6862" s="10" t="s">
        <v>6597</v>
      </c>
      <c r="E6862" s="10" t="str">
        <f>"644020240518101819186616"</f>
        <v>644020240518101819186616</v>
      </c>
      <c r="F6862" s="9"/>
    </row>
    <row r="6863" s="2" customFormat="1" ht="30" customHeight="1" spans="1:6">
      <c r="A6863" s="9">
        <v>6860</v>
      </c>
      <c r="B6863" s="10" t="s">
        <v>4840</v>
      </c>
      <c r="C6863" s="10" t="s">
        <v>4841</v>
      </c>
      <c r="D6863" s="10" t="s">
        <v>6598</v>
      </c>
      <c r="E6863" s="10" t="str">
        <f>"644020240518100336186580"</f>
        <v>644020240518100336186580</v>
      </c>
      <c r="F6863" s="9"/>
    </row>
    <row r="6864" s="2" customFormat="1" ht="30" customHeight="1" spans="1:6">
      <c r="A6864" s="9">
        <v>6861</v>
      </c>
      <c r="B6864" s="10" t="s">
        <v>4840</v>
      </c>
      <c r="C6864" s="10" t="s">
        <v>4841</v>
      </c>
      <c r="D6864" s="10" t="s">
        <v>6599</v>
      </c>
      <c r="E6864" s="10" t="str">
        <f>"644020240518103331186655"</f>
        <v>644020240518103331186655</v>
      </c>
      <c r="F6864" s="9"/>
    </row>
    <row r="6865" s="2" customFormat="1" ht="30" customHeight="1" spans="1:6">
      <c r="A6865" s="9">
        <v>6862</v>
      </c>
      <c r="B6865" s="10" t="s">
        <v>4840</v>
      </c>
      <c r="C6865" s="10" t="s">
        <v>4841</v>
      </c>
      <c r="D6865" s="10" t="s">
        <v>6600</v>
      </c>
      <c r="E6865" s="10" t="str">
        <f>"644020240518104055186677"</f>
        <v>644020240518104055186677</v>
      </c>
      <c r="F6865" s="9"/>
    </row>
    <row r="6866" s="2" customFormat="1" ht="30" customHeight="1" spans="1:6">
      <c r="A6866" s="9">
        <v>6863</v>
      </c>
      <c r="B6866" s="10" t="s">
        <v>4840</v>
      </c>
      <c r="C6866" s="10" t="s">
        <v>4841</v>
      </c>
      <c r="D6866" s="10" t="s">
        <v>6601</v>
      </c>
      <c r="E6866" s="10" t="str">
        <f>"644020240518081612186381"</f>
        <v>644020240518081612186381</v>
      </c>
      <c r="F6866" s="9"/>
    </row>
    <row r="6867" s="2" customFormat="1" ht="30" customHeight="1" spans="1:6">
      <c r="A6867" s="9">
        <v>6864</v>
      </c>
      <c r="B6867" s="10" t="s">
        <v>4840</v>
      </c>
      <c r="C6867" s="10" t="s">
        <v>4841</v>
      </c>
      <c r="D6867" s="10" t="s">
        <v>6602</v>
      </c>
      <c r="E6867" s="10" t="str">
        <f>"644020240517173758185755"</f>
        <v>644020240517173758185755</v>
      </c>
      <c r="F6867" s="9"/>
    </row>
    <row r="6868" s="2" customFormat="1" ht="30" customHeight="1" spans="1:6">
      <c r="A6868" s="9">
        <v>6865</v>
      </c>
      <c r="B6868" s="10" t="s">
        <v>4840</v>
      </c>
      <c r="C6868" s="10" t="s">
        <v>4841</v>
      </c>
      <c r="D6868" s="10" t="s">
        <v>6603</v>
      </c>
      <c r="E6868" s="10" t="str">
        <f>"644020240518102713186638"</f>
        <v>644020240518102713186638</v>
      </c>
      <c r="F6868" s="9"/>
    </row>
    <row r="6869" s="2" customFormat="1" ht="30" customHeight="1" spans="1:6">
      <c r="A6869" s="9">
        <v>6866</v>
      </c>
      <c r="B6869" s="10" t="s">
        <v>4840</v>
      </c>
      <c r="C6869" s="10" t="s">
        <v>4841</v>
      </c>
      <c r="D6869" s="10" t="s">
        <v>2243</v>
      </c>
      <c r="E6869" s="10" t="str">
        <f>"644020240518103943186676"</f>
        <v>644020240518103943186676</v>
      </c>
      <c r="F6869" s="9"/>
    </row>
    <row r="6870" s="2" customFormat="1" ht="30" customHeight="1" spans="1:6">
      <c r="A6870" s="9">
        <v>6867</v>
      </c>
      <c r="B6870" s="10" t="s">
        <v>4840</v>
      </c>
      <c r="C6870" s="10" t="s">
        <v>4841</v>
      </c>
      <c r="D6870" s="10" t="s">
        <v>6604</v>
      </c>
      <c r="E6870" s="10" t="str">
        <f>"644020240518102100186624"</f>
        <v>644020240518102100186624</v>
      </c>
      <c r="F6870" s="9"/>
    </row>
    <row r="6871" s="2" customFormat="1" ht="30" customHeight="1" spans="1:6">
      <c r="A6871" s="9">
        <v>6868</v>
      </c>
      <c r="B6871" s="10" t="s">
        <v>4840</v>
      </c>
      <c r="C6871" s="10" t="s">
        <v>4841</v>
      </c>
      <c r="D6871" s="10" t="s">
        <v>6605</v>
      </c>
      <c r="E6871" s="10" t="str">
        <f>"644020240514135414179063"</f>
        <v>644020240514135414179063</v>
      </c>
      <c r="F6871" s="9"/>
    </row>
    <row r="6872" s="2" customFormat="1" ht="30" customHeight="1" spans="1:6">
      <c r="A6872" s="9">
        <v>6869</v>
      </c>
      <c r="B6872" s="10" t="s">
        <v>4840</v>
      </c>
      <c r="C6872" s="10" t="s">
        <v>4841</v>
      </c>
      <c r="D6872" s="10" t="s">
        <v>6606</v>
      </c>
      <c r="E6872" s="10" t="str">
        <f>"644020240518104646186693"</f>
        <v>644020240518104646186693</v>
      </c>
      <c r="F6872" s="9"/>
    </row>
    <row r="6873" s="2" customFormat="1" ht="30" customHeight="1" spans="1:6">
      <c r="A6873" s="9">
        <v>6870</v>
      </c>
      <c r="B6873" s="10" t="s">
        <v>4840</v>
      </c>
      <c r="C6873" s="10" t="s">
        <v>4841</v>
      </c>
      <c r="D6873" s="10" t="s">
        <v>6607</v>
      </c>
      <c r="E6873" s="10" t="str">
        <f>"644020240518105406186708"</f>
        <v>644020240518105406186708</v>
      </c>
      <c r="F6873" s="9"/>
    </row>
    <row r="6874" s="2" customFormat="1" ht="30" customHeight="1" spans="1:6">
      <c r="A6874" s="9">
        <v>6871</v>
      </c>
      <c r="B6874" s="10" t="s">
        <v>4840</v>
      </c>
      <c r="C6874" s="10" t="s">
        <v>4841</v>
      </c>
      <c r="D6874" s="10" t="s">
        <v>6608</v>
      </c>
      <c r="E6874" s="10" t="str">
        <f>"644020240518071556186333"</f>
        <v>644020240518071556186333</v>
      </c>
      <c r="F6874" s="9"/>
    </row>
    <row r="6875" s="2" customFormat="1" ht="30" customHeight="1" spans="1:6">
      <c r="A6875" s="9">
        <v>6872</v>
      </c>
      <c r="B6875" s="10" t="s">
        <v>4840</v>
      </c>
      <c r="C6875" s="10" t="s">
        <v>4841</v>
      </c>
      <c r="D6875" s="10" t="s">
        <v>6609</v>
      </c>
      <c r="E6875" s="10" t="str">
        <f>"644020240518105005186702"</f>
        <v>644020240518105005186702</v>
      </c>
      <c r="F6875" s="9"/>
    </row>
    <row r="6876" s="2" customFormat="1" ht="30" customHeight="1" spans="1:6">
      <c r="A6876" s="9">
        <v>6873</v>
      </c>
      <c r="B6876" s="10" t="s">
        <v>4840</v>
      </c>
      <c r="C6876" s="10" t="s">
        <v>4841</v>
      </c>
      <c r="D6876" s="10" t="s">
        <v>703</v>
      </c>
      <c r="E6876" s="10" t="str">
        <f>"644020240518103142186650"</f>
        <v>644020240518103142186650</v>
      </c>
      <c r="F6876" s="9"/>
    </row>
    <row r="6877" s="2" customFormat="1" ht="30" customHeight="1" spans="1:6">
      <c r="A6877" s="9">
        <v>6874</v>
      </c>
      <c r="B6877" s="10" t="s">
        <v>4840</v>
      </c>
      <c r="C6877" s="10" t="s">
        <v>4841</v>
      </c>
      <c r="D6877" s="10" t="s">
        <v>6610</v>
      </c>
      <c r="E6877" s="10" t="str">
        <f>"644020240518113628186772"</f>
        <v>644020240518113628186772</v>
      </c>
      <c r="F6877" s="9"/>
    </row>
    <row r="6878" s="2" customFormat="1" ht="30" customHeight="1" spans="1:6">
      <c r="A6878" s="9">
        <v>6875</v>
      </c>
      <c r="B6878" s="10" t="s">
        <v>4840</v>
      </c>
      <c r="C6878" s="10" t="s">
        <v>4841</v>
      </c>
      <c r="D6878" s="10" t="s">
        <v>6611</v>
      </c>
      <c r="E6878" s="10" t="str">
        <f>"644020240517182616185827"</f>
        <v>644020240517182616185827</v>
      </c>
      <c r="F6878" s="9"/>
    </row>
    <row r="6879" s="2" customFormat="1" ht="30" customHeight="1" spans="1:6">
      <c r="A6879" s="9">
        <v>6876</v>
      </c>
      <c r="B6879" s="10" t="s">
        <v>4840</v>
      </c>
      <c r="C6879" s="10" t="s">
        <v>4841</v>
      </c>
      <c r="D6879" s="10" t="s">
        <v>6612</v>
      </c>
      <c r="E6879" s="10" t="str">
        <f>"644020240518111823186741"</f>
        <v>644020240518111823186741</v>
      </c>
      <c r="F6879" s="9"/>
    </row>
    <row r="6880" s="2" customFormat="1" ht="30" customHeight="1" spans="1:6">
      <c r="A6880" s="9">
        <v>6877</v>
      </c>
      <c r="B6880" s="10" t="s">
        <v>4840</v>
      </c>
      <c r="C6880" s="10" t="s">
        <v>4841</v>
      </c>
      <c r="D6880" s="10" t="s">
        <v>6613</v>
      </c>
      <c r="E6880" s="10" t="str">
        <f>"644020240518112630186759"</f>
        <v>644020240518112630186759</v>
      </c>
      <c r="F6880" s="9"/>
    </row>
    <row r="6881" s="2" customFormat="1" ht="30" customHeight="1" spans="1:6">
      <c r="A6881" s="9">
        <v>6878</v>
      </c>
      <c r="B6881" s="10" t="s">
        <v>4840</v>
      </c>
      <c r="C6881" s="10" t="s">
        <v>4841</v>
      </c>
      <c r="D6881" s="10" t="s">
        <v>6614</v>
      </c>
      <c r="E6881" s="10" t="str">
        <f>"644020240515225516182497"</f>
        <v>644020240515225516182497</v>
      </c>
      <c r="F6881" s="9"/>
    </row>
    <row r="6882" s="2" customFormat="1" ht="30" customHeight="1" spans="1:6">
      <c r="A6882" s="9">
        <v>6879</v>
      </c>
      <c r="B6882" s="10" t="s">
        <v>4840</v>
      </c>
      <c r="C6882" s="10" t="s">
        <v>4841</v>
      </c>
      <c r="D6882" s="10" t="s">
        <v>6615</v>
      </c>
      <c r="E6882" s="10" t="str">
        <f>"644020240518112404186750"</f>
        <v>644020240518112404186750</v>
      </c>
      <c r="F6882" s="9"/>
    </row>
    <row r="6883" s="2" customFormat="1" ht="30" customHeight="1" spans="1:6">
      <c r="A6883" s="9">
        <v>6880</v>
      </c>
      <c r="B6883" s="10" t="s">
        <v>4840</v>
      </c>
      <c r="C6883" s="10" t="s">
        <v>4841</v>
      </c>
      <c r="D6883" s="10" t="s">
        <v>5814</v>
      </c>
      <c r="E6883" s="10" t="str">
        <f>"644020240518115852186811"</f>
        <v>644020240518115852186811</v>
      </c>
      <c r="F6883" s="9"/>
    </row>
    <row r="6884" s="2" customFormat="1" ht="30" customHeight="1" spans="1:6">
      <c r="A6884" s="9">
        <v>6881</v>
      </c>
      <c r="B6884" s="10" t="s">
        <v>6616</v>
      </c>
      <c r="C6884" s="10" t="s">
        <v>6617</v>
      </c>
      <c r="D6884" s="10" t="s">
        <v>6618</v>
      </c>
      <c r="E6884" s="10" t="str">
        <f>"644020240512090237168103"</f>
        <v>644020240512090237168103</v>
      </c>
      <c r="F6884" s="9"/>
    </row>
    <row r="6885" s="2" customFormat="1" ht="30" customHeight="1" spans="1:6">
      <c r="A6885" s="9">
        <v>6882</v>
      </c>
      <c r="B6885" s="10" t="s">
        <v>6616</v>
      </c>
      <c r="C6885" s="10" t="s">
        <v>6617</v>
      </c>
      <c r="D6885" s="10" t="s">
        <v>6619</v>
      </c>
      <c r="E6885" s="10" t="str">
        <f>"644020240512102949168565"</f>
        <v>644020240512102949168565</v>
      </c>
      <c r="F6885" s="9"/>
    </row>
    <row r="6886" s="2" customFormat="1" ht="30" customHeight="1" spans="1:6">
      <c r="A6886" s="9">
        <v>6883</v>
      </c>
      <c r="B6886" s="10" t="s">
        <v>6616</v>
      </c>
      <c r="C6886" s="10" t="s">
        <v>6617</v>
      </c>
      <c r="D6886" s="10" t="s">
        <v>6620</v>
      </c>
      <c r="E6886" s="10" t="str">
        <f>"644020240512110038168725"</f>
        <v>644020240512110038168725</v>
      </c>
      <c r="F6886" s="9"/>
    </row>
    <row r="6887" s="2" customFormat="1" ht="30" customHeight="1" spans="1:6">
      <c r="A6887" s="9">
        <v>6884</v>
      </c>
      <c r="B6887" s="10" t="s">
        <v>6616</v>
      </c>
      <c r="C6887" s="10" t="s">
        <v>6617</v>
      </c>
      <c r="D6887" s="10" t="s">
        <v>6621</v>
      </c>
      <c r="E6887" s="10" t="str">
        <f>"644020240512123713169149"</f>
        <v>644020240512123713169149</v>
      </c>
      <c r="F6887" s="9"/>
    </row>
    <row r="6888" s="2" customFormat="1" ht="30" customHeight="1" spans="1:6">
      <c r="A6888" s="9">
        <v>6885</v>
      </c>
      <c r="B6888" s="10" t="s">
        <v>6616</v>
      </c>
      <c r="C6888" s="10" t="s">
        <v>6617</v>
      </c>
      <c r="D6888" s="10" t="s">
        <v>6622</v>
      </c>
      <c r="E6888" s="10" t="str">
        <f>"644020240512113524168913"</f>
        <v>644020240512113524168913</v>
      </c>
      <c r="F6888" s="9"/>
    </row>
    <row r="6889" s="2" customFormat="1" ht="30" customHeight="1" spans="1:6">
      <c r="A6889" s="9">
        <v>6886</v>
      </c>
      <c r="B6889" s="10" t="s">
        <v>6616</v>
      </c>
      <c r="C6889" s="10" t="s">
        <v>6617</v>
      </c>
      <c r="D6889" s="10" t="s">
        <v>6623</v>
      </c>
      <c r="E6889" s="10" t="str">
        <f>"644020240512164524170063"</f>
        <v>644020240512164524170063</v>
      </c>
      <c r="F6889" s="9"/>
    </row>
    <row r="6890" s="2" customFormat="1" ht="30" customHeight="1" spans="1:6">
      <c r="A6890" s="9">
        <v>6887</v>
      </c>
      <c r="B6890" s="10" t="s">
        <v>6616</v>
      </c>
      <c r="C6890" s="10" t="s">
        <v>6617</v>
      </c>
      <c r="D6890" s="10" t="s">
        <v>6624</v>
      </c>
      <c r="E6890" s="10" t="str">
        <f>"644020240512163918170035"</f>
        <v>644020240512163918170035</v>
      </c>
      <c r="F6890" s="9"/>
    </row>
    <row r="6891" s="2" customFormat="1" ht="30" customHeight="1" spans="1:6">
      <c r="A6891" s="9">
        <v>6888</v>
      </c>
      <c r="B6891" s="10" t="s">
        <v>6616</v>
      </c>
      <c r="C6891" s="10" t="s">
        <v>6617</v>
      </c>
      <c r="D6891" s="10" t="s">
        <v>4234</v>
      </c>
      <c r="E6891" s="10" t="str">
        <f>"644020240512101929168500"</f>
        <v>644020240512101929168500</v>
      </c>
      <c r="F6891" s="9"/>
    </row>
    <row r="6892" s="2" customFormat="1" ht="30" customHeight="1" spans="1:6">
      <c r="A6892" s="9">
        <v>6889</v>
      </c>
      <c r="B6892" s="10" t="s">
        <v>6616</v>
      </c>
      <c r="C6892" s="10" t="s">
        <v>6617</v>
      </c>
      <c r="D6892" s="10" t="s">
        <v>6625</v>
      </c>
      <c r="E6892" s="10" t="str">
        <f>"644020240512195146170676"</f>
        <v>644020240512195146170676</v>
      </c>
      <c r="F6892" s="9"/>
    </row>
    <row r="6893" s="2" customFormat="1" ht="30" customHeight="1" spans="1:6">
      <c r="A6893" s="9">
        <v>6890</v>
      </c>
      <c r="B6893" s="10" t="s">
        <v>6616</v>
      </c>
      <c r="C6893" s="10" t="s">
        <v>6617</v>
      </c>
      <c r="D6893" s="10" t="s">
        <v>6626</v>
      </c>
      <c r="E6893" s="10" t="str">
        <f>"644020240512134243169414"</f>
        <v>644020240512134243169414</v>
      </c>
      <c r="F6893" s="9"/>
    </row>
    <row r="6894" s="2" customFormat="1" ht="30" customHeight="1" spans="1:6">
      <c r="A6894" s="9">
        <v>6891</v>
      </c>
      <c r="B6894" s="10" t="s">
        <v>6616</v>
      </c>
      <c r="C6894" s="10" t="s">
        <v>6617</v>
      </c>
      <c r="D6894" s="10" t="s">
        <v>6627</v>
      </c>
      <c r="E6894" s="10" t="str">
        <f>"644020240512215241171278"</f>
        <v>644020240512215241171278</v>
      </c>
      <c r="F6894" s="9"/>
    </row>
    <row r="6895" s="2" customFormat="1" ht="30" customHeight="1" spans="1:6">
      <c r="A6895" s="9">
        <v>6892</v>
      </c>
      <c r="B6895" s="10" t="s">
        <v>6616</v>
      </c>
      <c r="C6895" s="10" t="s">
        <v>6617</v>
      </c>
      <c r="D6895" s="10" t="s">
        <v>6628</v>
      </c>
      <c r="E6895" s="10" t="str">
        <f>"644020240513075141172181"</f>
        <v>644020240513075141172181</v>
      </c>
      <c r="F6895" s="9"/>
    </row>
    <row r="6896" s="2" customFormat="1" ht="30" customHeight="1" spans="1:6">
      <c r="A6896" s="9">
        <v>6893</v>
      </c>
      <c r="B6896" s="10" t="s">
        <v>6616</v>
      </c>
      <c r="C6896" s="10" t="s">
        <v>6617</v>
      </c>
      <c r="D6896" s="10" t="s">
        <v>6629</v>
      </c>
      <c r="E6896" s="10" t="str">
        <f>"644020240513091004172595"</f>
        <v>644020240513091004172595</v>
      </c>
      <c r="F6896" s="9"/>
    </row>
    <row r="6897" s="2" customFormat="1" ht="30" customHeight="1" spans="1:6">
      <c r="A6897" s="9">
        <v>6894</v>
      </c>
      <c r="B6897" s="10" t="s">
        <v>6616</v>
      </c>
      <c r="C6897" s="10" t="s">
        <v>6617</v>
      </c>
      <c r="D6897" s="10" t="s">
        <v>6630</v>
      </c>
      <c r="E6897" s="10" t="str">
        <f>"644020240513100459173159"</f>
        <v>644020240513100459173159</v>
      </c>
      <c r="F6897" s="9"/>
    </row>
    <row r="6898" s="2" customFormat="1" ht="30" customHeight="1" spans="1:6">
      <c r="A6898" s="9">
        <v>6895</v>
      </c>
      <c r="B6898" s="10" t="s">
        <v>6616</v>
      </c>
      <c r="C6898" s="10" t="s">
        <v>6617</v>
      </c>
      <c r="D6898" s="10" t="s">
        <v>6631</v>
      </c>
      <c r="E6898" s="10" t="str">
        <f>"644020240513113055173968"</f>
        <v>644020240513113055173968</v>
      </c>
      <c r="F6898" s="9"/>
    </row>
    <row r="6899" s="2" customFormat="1" ht="30" customHeight="1" spans="1:6">
      <c r="A6899" s="9">
        <v>6896</v>
      </c>
      <c r="B6899" s="10" t="s">
        <v>6616</v>
      </c>
      <c r="C6899" s="10" t="s">
        <v>6617</v>
      </c>
      <c r="D6899" s="10" t="s">
        <v>6632</v>
      </c>
      <c r="E6899" s="10" t="str">
        <f>"644020240513113744174014"</f>
        <v>644020240513113744174014</v>
      </c>
      <c r="F6899" s="9"/>
    </row>
    <row r="6900" s="2" customFormat="1" ht="30" customHeight="1" spans="1:6">
      <c r="A6900" s="9">
        <v>6897</v>
      </c>
      <c r="B6900" s="10" t="s">
        <v>6616</v>
      </c>
      <c r="C6900" s="10" t="s">
        <v>6617</v>
      </c>
      <c r="D6900" s="10" t="s">
        <v>6633</v>
      </c>
      <c r="E6900" s="10" t="str">
        <f>"644020240513143505175004"</f>
        <v>644020240513143505175004</v>
      </c>
      <c r="F6900" s="9"/>
    </row>
    <row r="6901" s="2" customFormat="1" ht="30" customHeight="1" spans="1:6">
      <c r="A6901" s="9">
        <v>6898</v>
      </c>
      <c r="B6901" s="10" t="s">
        <v>6616</v>
      </c>
      <c r="C6901" s="10" t="s">
        <v>6617</v>
      </c>
      <c r="D6901" s="10" t="s">
        <v>6634</v>
      </c>
      <c r="E6901" s="10" t="str">
        <f>"644020240513101429173253"</f>
        <v>644020240513101429173253</v>
      </c>
      <c r="F6901" s="9"/>
    </row>
    <row r="6902" s="2" customFormat="1" ht="30" customHeight="1" spans="1:6">
      <c r="A6902" s="9">
        <v>6899</v>
      </c>
      <c r="B6902" s="10" t="s">
        <v>6616</v>
      </c>
      <c r="C6902" s="10" t="s">
        <v>6617</v>
      </c>
      <c r="D6902" s="10" t="s">
        <v>6635</v>
      </c>
      <c r="E6902" s="10" t="str">
        <f>"644020240512103452168592"</f>
        <v>644020240512103452168592</v>
      </c>
      <c r="F6902" s="9"/>
    </row>
    <row r="6903" s="2" customFormat="1" ht="30" customHeight="1" spans="1:6">
      <c r="A6903" s="9">
        <v>6900</v>
      </c>
      <c r="B6903" s="10" t="s">
        <v>6616</v>
      </c>
      <c r="C6903" s="10" t="s">
        <v>6617</v>
      </c>
      <c r="D6903" s="10" t="s">
        <v>6636</v>
      </c>
      <c r="E6903" s="10" t="str">
        <f>"644020240513172147176197"</f>
        <v>644020240513172147176197</v>
      </c>
      <c r="F6903" s="9"/>
    </row>
    <row r="6904" s="2" customFormat="1" ht="30" customHeight="1" spans="1:6">
      <c r="A6904" s="9">
        <v>6901</v>
      </c>
      <c r="B6904" s="10" t="s">
        <v>6616</v>
      </c>
      <c r="C6904" s="10" t="s">
        <v>6617</v>
      </c>
      <c r="D6904" s="10" t="s">
        <v>6637</v>
      </c>
      <c r="E6904" s="10" t="str">
        <f>"644020240513183930176447"</f>
        <v>644020240513183930176447</v>
      </c>
      <c r="F6904" s="9"/>
    </row>
    <row r="6905" s="2" customFormat="1" ht="30" customHeight="1" spans="1:6">
      <c r="A6905" s="9">
        <v>6902</v>
      </c>
      <c r="B6905" s="10" t="s">
        <v>6616</v>
      </c>
      <c r="C6905" s="10" t="s">
        <v>6617</v>
      </c>
      <c r="D6905" s="10" t="s">
        <v>6638</v>
      </c>
      <c r="E6905" s="10" t="str">
        <f>"644020240512231938171779"</f>
        <v>644020240512231938171779</v>
      </c>
      <c r="F6905" s="9"/>
    </row>
    <row r="6906" s="2" customFormat="1" ht="30" customHeight="1" spans="1:6">
      <c r="A6906" s="9">
        <v>6903</v>
      </c>
      <c r="B6906" s="10" t="s">
        <v>6616</v>
      </c>
      <c r="C6906" s="10" t="s">
        <v>6617</v>
      </c>
      <c r="D6906" s="10" t="s">
        <v>6639</v>
      </c>
      <c r="E6906" s="10" t="str">
        <f>"644020240513192251176587"</f>
        <v>644020240513192251176587</v>
      </c>
      <c r="F6906" s="9"/>
    </row>
    <row r="6907" s="2" customFormat="1" ht="30" customHeight="1" spans="1:6">
      <c r="A6907" s="9">
        <v>6904</v>
      </c>
      <c r="B6907" s="10" t="s">
        <v>6616</v>
      </c>
      <c r="C6907" s="10" t="s">
        <v>6617</v>
      </c>
      <c r="D6907" s="10" t="s">
        <v>6640</v>
      </c>
      <c r="E6907" s="10" t="str">
        <f>"644020240514092348178081"</f>
        <v>644020240514092348178081</v>
      </c>
      <c r="F6907" s="9"/>
    </row>
    <row r="6908" s="2" customFormat="1" ht="30" customHeight="1" spans="1:6">
      <c r="A6908" s="9">
        <v>6905</v>
      </c>
      <c r="B6908" s="10" t="s">
        <v>6616</v>
      </c>
      <c r="C6908" s="10" t="s">
        <v>6617</v>
      </c>
      <c r="D6908" s="10" t="s">
        <v>6641</v>
      </c>
      <c r="E6908" s="10" t="str">
        <f>"644020240514120634178836"</f>
        <v>644020240514120634178836</v>
      </c>
      <c r="F6908" s="9"/>
    </row>
    <row r="6909" s="2" customFormat="1" ht="30" customHeight="1" spans="1:6">
      <c r="A6909" s="9">
        <v>6906</v>
      </c>
      <c r="B6909" s="10" t="s">
        <v>6616</v>
      </c>
      <c r="C6909" s="10" t="s">
        <v>6617</v>
      </c>
      <c r="D6909" s="10" t="s">
        <v>6642</v>
      </c>
      <c r="E6909" s="10" t="str">
        <f>"644020240513160801175833"</f>
        <v>644020240513160801175833</v>
      </c>
      <c r="F6909" s="9"/>
    </row>
    <row r="6910" s="2" customFormat="1" ht="30" customHeight="1" spans="1:6">
      <c r="A6910" s="9">
        <v>6907</v>
      </c>
      <c r="B6910" s="10" t="s">
        <v>6616</v>
      </c>
      <c r="C6910" s="10" t="s">
        <v>6617</v>
      </c>
      <c r="D6910" s="10" t="s">
        <v>6643</v>
      </c>
      <c r="E6910" s="10" t="str">
        <f>"644020240514124749178934"</f>
        <v>644020240514124749178934</v>
      </c>
      <c r="F6910" s="9"/>
    </row>
    <row r="6911" s="2" customFormat="1" ht="30" customHeight="1" spans="1:6">
      <c r="A6911" s="9">
        <v>6908</v>
      </c>
      <c r="B6911" s="10" t="s">
        <v>6616</v>
      </c>
      <c r="C6911" s="10" t="s">
        <v>6617</v>
      </c>
      <c r="D6911" s="10" t="s">
        <v>6644</v>
      </c>
      <c r="E6911" s="10" t="str">
        <f>"644020240514150408179219"</f>
        <v>644020240514150408179219</v>
      </c>
      <c r="F6911" s="9"/>
    </row>
    <row r="6912" s="2" customFormat="1" ht="30" customHeight="1" spans="1:6">
      <c r="A6912" s="9">
        <v>6909</v>
      </c>
      <c r="B6912" s="10" t="s">
        <v>6616</v>
      </c>
      <c r="C6912" s="10" t="s">
        <v>6617</v>
      </c>
      <c r="D6912" s="10" t="s">
        <v>6645</v>
      </c>
      <c r="E6912" s="10" t="str">
        <f>"644020240514153300179314"</f>
        <v>644020240514153300179314</v>
      </c>
      <c r="F6912" s="9"/>
    </row>
    <row r="6913" s="2" customFormat="1" ht="30" customHeight="1" spans="1:6">
      <c r="A6913" s="9">
        <v>6910</v>
      </c>
      <c r="B6913" s="10" t="s">
        <v>6616</v>
      </c>
      <c r="C6913" s="10" t="s">
        <v>6617</v>
      </c>
      <c r="D6913" s="10" t="s">
        <v>6646</v>
      </c>
      <c r="E6913" s="10" t="str">
        <f>"644020240514164930179569"</f>
        <v>644020240514164930179569</v>
      </c>
      <c r="F6913" s="9"/>
    </row>
    <row r="6914" s="2" customFormat="1" ht="30" customHeight="1" spans="1:6">
      <c r="A6914" s="9">
        <v>6911</v>
      </c>
      <c r="B6914" s="10" t="s">
        <v>6616</v>
      </c>
      <c r="C6914" s="10" t="s">
        <v>6617</v>
      </c>
      <c r="D6914" s="10" t="s">
        <v>6647</v>
      </c>
      <c r="E6914" s="10" t="str">
        <f>"644020240513135002174752"</f>
        <v>644020240513135002174752</v>
      </c>
      <c r="F6914" s="9"/>
    </row>
    <row r="6915" s="2" customFormat="1" ht="30" customHeight="1" spans="1:6">
      <c r="A6915" s="9">
        <v>6912</v>
      </c>
      <c r="B6915" s="10" t="s">
        <v>6616</v>
      </c>
      <c r="C6915" s="10" t="s">
        <v>6617</v>
      </c>
      <c r="D6915" s="10" t="s">
        <v>6648</v>
      </c>
      <c r="E6915" s="10" t="str">
        <f>"644020240514181432179804"</f>
        <v>644020240514181432179804</v>
      </c>
      <c r="F6915" s="9"/>
    </row>
    <row r="6916" s="2" customFormat="1" ht="30" customHeight="1" spans="1:6">
      <c r="A6916" s="9">
        <v>6913</v>
      </c>
      <c r="B6916" s="10" t="s">
        <v>6616</v>
      </c>
      <c r="C6916" s="10" t="s">
        <v>6617</v>
      </c>
      <c r="D6916" s="10" t="s">
        <v>6649</v>
      </c>
      <c r="E6916" s="10" t="str">
        <f>"644020240513224618177432"</f>
        <v>644020240513224618177432</v>
      </c>
      <c r="F6916" s="9"/>
    </row>
    <row r="6917" s="2" customFormat="1" ht="30" customHeight="1" spans="1:6">
      <c r="A6917" s="9">
        <v>6914</v>
      </c>
      <c r="B6917" s="10" t="s">
        <v>6616</v>
      </c>
      <c r="C6917" s="10" t="s">
        <v>6617</v>
      </c>
      <c r="D6917" s="10" t="s">
        <v>6650</v>
      </c>
      <c r="E6917" s="10" t="str">
        <f>"644020240513094733172984"</f>
        <v>644020240513094733172984</v>
      </c>
      <c r="F6917" s="9"/>
    </row>
    <row r="6918" s="2" customFormat="1" ht="30" customHeight="1" spans="1:6">
      <c r="A6918" s="9">
        <v>6915</v>
      </c>
      <c r="B6918" s="10" t="s">
        <v>6616</v>
      </c>
      <c r="C6918" s="10" t="s">
        <v>6617</v>
      </c>
      <c r="D6918" s="10" t="s">
        <v>6651</v>
      </c>
      <c r="E6918" s="10" t="str">
        <f>"644020240512194813170661"</f>
        <v>644020240512194813170661</v>
      </c>
      <c r="F6918" s="9"/>
    </row>
    <row r="6919" s="2" customFormat="1" ht="30" customHeight="1" spans="1:6">
      <c r="A6919" s="9">
        <v>6916</v>
      </c>
      <c r="B6919" s="10" t="s">
        <v>6616</v>
      </c>
      <c r="C6919" s="10" t="s">
        <v>6617</v>
      </c>
      <c r="D6919" s="10" t="s">
        <v>6652</v>
      </c>
      <c r="E6919" s="10" t="str">
        <f>"644020240514201924180022"</f>
        <v>644020240514201924180022</v>
      </c>
      <c r="F6919" s="9"/>
    </row>
    <row r="6920" s="2" customFormat="1" ht="30" customHeight="1" spans="1:6">
      <c r="A6920" s="9">
        <v>6917</v>
      </c>
      <c r="B6920" s="10" t="s">
        <v>6616</v>
      </c>
      <c r="C6920" s="10" t="s">
        <v>6617</v>
      </c>
      <c r="D6920" s="10" t="s">
        <v>6653</v>
      </c>
      <c r="E6920" s="10" t="str">
        <f>"644020240512113040168884"</f>
        <v>644020240512113040168884</v>
      </c>
      <c r="F6920" s="9"/>
    </row>
    <row r="6921" s="2" customFormat="1" ht="30" customHeight="1" spans="1:6">
      <c r="A6921" s="9">
        <v>6918</v>
      </c>
      <c r="B6921" s="10" t="s">
        <v>6616</v>
      </c>
      <c r="C6921" s="10" t="s">
        <v>6617</v>
      </c>
      <c r="D6921" s="10" t="s">
        <v>6654</v>
      </c>
      <c r="E6921" s="10" t="str">
        <f>"644020240513150233175206"</f>
        <v>644020240513150233175206</v>
      </c>
      <c r="F6921" s="9"/>
    </row>
    <row r="6922" s="2" customFormat="1" ht="30" customHeight="1" spans="1:6">
      <c r="A6922" s="9">
        <v>6919</v>
      </c>
      <c r="B6922" s="10" t="s">
        <v>6616</v>
      </c>
      <c r="C6922" s="10" t="s">
        <v>6617</v>
      </c>
      <c r="D6922" s="10" t="s">
        <v>6655</v>
      </c>
      <c r="E6922" s="10" t="str">
        <f>"644020240514231444180488"</f>
        <v>644020240514231444180488</v>
      </c>
      <c r="F6922" s="9"/>
    </row>
    <row r="6923" s="2" customFormat="1" ht="30" customHeight="1" spans="1:6">
      <c r="A6923" s="9">
        <v>6920</v>
      </c>
      <c r="B6923" s="10" t="s">
        <v>6616</v>
      </c>
      <c r="C6923" s="10" t="s">
        <v>6617</v>
      </c>
      <c r="D6923" s="10" t="s">
        <v>6656</v>
      </c>
      <c r="E6923" s="10" t="str">
        <f>"644020240513183419176438"</f>
        <v>644020240513183419176438</v>
      </c>
      <c r="F6923" s="9"/>
    </row>
    <row r="6924" s="2" customFormat="1" ht="30" customHeight="1" spans="1:6">
      <c r="A6924" s="9">
        <v>6921</v>
      </c>
      <c r="B6924" s="10" t="s">
        <v>6616</v>
      </c>
      <c r="C6924" s="10" t="s">
        <v>6617</v>
      </c>
      <c r="D6924" s="10" t="s">
        <v>6657</v>
      </c>
      <c r="E6924" s="10" t="str">
        <f>"644020240514115818178816"</f>
        <v>644020240514115818178816</v>
      </c>
      <c r="F6924" s="9"/>
    </row>
    <row r="6925" s="2" customFormat="1" ht="30" customHeight="1" spans="1:6">
      <c r="A6925" s="9">
        <v>6922</v>
      </c>
      <c r="B6925" s="10" t="s">
        <v>6616</v>
      </c>
      <c r="C6925" s="10" t="s">
        <v>6617</v>
      </c>
      <c r="D6925" s="10" t="s">
        <v>6658</v>
      </c>
      <c r="E6925" s="10" t="str">
        <f>"644020240515134500181493"</f>
        <v>644020240515134500181493</v>
      </c>
      <c r="F6925" s="9"/>
    </row>
    <row r="6926" s="2" customFormat="1" ht="30" customHeight="1" spans="1:6">
      <c r="A6926" s="9">
        <v>6923</v>
      </c>
      <c r="B6926" s="10" t="s">
        <v>6616</v>
      </c>
      <c r="C6926" s="10" t="s">
        <v>6617</v>
      </c>
      <c r="D6926" s="10" t="s">
        <v>6659</v>
      </c>
      <c r="E6926" s="10" t="str">
        <f>"644020240515110701181170"</f>
        <v>644020240515110701181170</v>
      </c>
      <c r="F6926" s="9"/>
    </row>
    <row r="6927" s="2" customFormat="1" ht="30" customHeight="1" spans="1:6">
      <c r="A6927" s="9">
        <v>6924</v>
      </c>
      <c r="B6927" s="10" t="s">
        <v>6616</v>
      </c>
      <c r="C6927" s="10" t="s">
        <v>6617</v>
      </c>
      <c r="D6927" s="10" t="s">
        <v>6660</v>
      </c>
      <c r="E6927" s="10" t="str">
        <f>"644020240513230741177523"</f>
        <v>644020240513230741177523</v>
      </c>
      <c r="F6927" s="9"/>
    </row>
    <row r="6928" s="2" customFormat="1" ht="30" customHeight="1" spans="1:6">
      <c r="A6928" s="9">
        <v>6925</v>
      </c>
      <c r="B6928" s="10" t="s">
        <v>6616</v>
      </c>
      <c r="C6928" s="10" t="s">
        <v>6617</v>
      </c>
      <c r="D6928" s="10" t="s">
        <v>6661</v>
      </c>
      <c r="E6928" s="10" t="str">
        <f>"644020240513225705177477"</f>
        <v>644020240513225705177477</v>
      </c>
      <c r="F6928" s="9"/>
    </row>
    <row r="6929" s="2" customFormat="1" ht="30" customHeight="1" spans="1:6">
      <c r="A6929" s="9">
        <v>6926</v>
      </c>
      <c r="B6929" s="10" t="s">
        <v>6616</v>
      </c>
      <c r="C6929" s="10" t="s">
        <v>6617</v>
      </c>
      <c r="D6929" s="10" t="s">
        <v>6662</v>
      </c>
      <c r="E6929" s="10" t="str">
        <f>"644020240515165000181927"</f>
        <v>644020240515165000181927</v>
      </c>
      <c r="F6929" s="9"/>
    </row>
    <row r="6930" s="2" customFormat="1" ht="30" customHeight="1" spans="1:6">
      <c r="A6930" s="9">
        <v>6927</v>
      </c>
      <c r="B6930" s="10" t="s">
        <v>6616</v>
      </c>
      <c r="C6930" s="10" t="s">
        <v>6617</v>
      </c>
      <c r="D6930" s="10" t="s">
        <v>6663</v>
      </c>
      <c r="E6930" s="10" t="str">
        <f>"644020240514163859179532"</f>
        <v>644020240514163859179532</v>
      </c>
      <c r="F6930" s="9"/>
    </row>
    <row r="6931" s="2" customFormat="1" ht="30" customHeight="1" spans="1:6">
      <c r="A6931" s="9">
        <v>6928</v>
      </c>
      <c r="B6931" s="10" t="s">
        <v>6616</v>
      </c>
      <c r="C6931" s="10" t="s">
        <v>6617</v>
      </c>
      <c r="D6931" s="10" t="s">
        <v>6664</v>
      </c>
      <c r="E6931" s="10" t="str">
        <f>"644020240515105350181123"</f>
        <v>644020240515105350181123</v>
      </c>
      <c r="F6931" s="9"/>
    </row>
    <row r="6932" s="2" customFormat="1" ht="30" customHeight="1" spans="1:6">
      <c r="A6932" s="9">
        <v>6929</v>
      </c>
      <c r="B6932" s="10" t="s">
        <v>6616</v>
      </c>
      <c r="C6932" s="10" t="s">
        <v>6617</v>
      </c>
      <c r="D6932" s="10" t="s">
        <v>6665</v>
      </c>
      <c r="E6932" s="10" t="str">
        <f>"644020240515181448182082"</f>
        <v>644020240515181448182082</v>
      </c>
      <c r="F6932" s="9"/>
    </row>
    <row r="6933" s="2" customFormat="1" ht="30" customHeight="1" spans="1:6">
      <c r="A6933" s="9">
        <v>6930</v>
      </c>
      <c r="B6933" s="10" t="s">
        <v>6616</v>
      </c>
      <c r="C6933" s="10" t="s">
        <v>6617</v>
      </c>
      <c r="D6933" s="10" t="s">
        <v>6666</v>
      </c>
      <c r="E6933" s="10" t="str">
        <f>"644020240514210234180118"</f>
        <v>644020240514210234180118</v>
      </c>
      <c r="F6933" s="9"/>
    </row>
    <row r="6934" s="2" customFormat="1" ht="30" customHeight="1" spans="1:6">
      <c r="A6934" s="9">
        <v>6931</v>
      </c>
      <c r="B6934" s="10" t="s">
        <v>6616</v>
      </c>
      <c r="C6934" s="10" t="s">
        <v>6617</v>
      </c>
      <c r="D6934" s="10" t="s">
        <v>6667</v>
      </c>
      <c r="E6934" s="10" t="str">
        <f>"644020240514222924180372"</f>
        <v>644020240514222924180372</v>
      </c>
      <c r="F6934" s="9"/>
    </row>
    <row r="6935" s="2" customFormat="1" ht="30" customHeight="1" spans="1:6">
      <c r="A6935" s="9">
        <v>6932</v>
      </c>
      <c r="B6935" s="10" t="s">
        <v>6616</v>
      </c>
      <c r="C6935" s="10" t="s">
        <v>6617</v>
      </c>
      <c r="D6935" s="10" t="s">
        <v>6668</v>
      </c>
      <c r="E6935" s="10" t="str">
        <f>"644020240515202453182255"</f>
        <v>644020240515202453182255</v>
      </c>
      <c r="F6935" s="9"/>
    </row>
    <row r="6936" s="2" customFormat="1" ht="30" customHeight="1" spans="1:6">
      <c r="A6936" s="9">
        <v>6933</v>
      </c>
      <c r="B6936" s="10" t="s">
        <v>6616</v>
      </c>
      <c r="C6936" s="10" t="s">
        <v>6617</v>
      </c>
      <c r="D6936" s="10" t="s">
        <v>6669</v>
      </c>
      <c r="E6936" s="10" t="str">
        <f>"644020240514231824180500"</f>
        <v>644020240514231824180500</v>
      </c>
      <c r="F6936" s="9"/>
    </row>
    <row r="6937" s="2" customFormat="1" ht="30" customHeight="1" spans="1:6">
      <c r="A6937" s="9">
        <v>6934</v>
      </c>
      <c r="B6937" s="10" t="s">
        <v>6616</v>
      </c>
      <c r="C6937" s="10" t="s">
        <v>6617</v>
      </c>
      <c r="D6937" s="10" t="s">
        <v>6670</v>
      </c>
      <c r="E6937" s="10" t="str">
        <f>"644020240515225121182476"</f>
        <v>644020240515225121182476</v>
      </c>
      <c r="F6937" s="9"/>
    </row>
    <row r="6938" s="2" customFormat="1" ht="30" customHeight="1" spans="1:6">
      <c r="A6938" s="9">
        <v>6935</v>
      </c>
      <c r="B6938" s="10" t="s">
        <v>6616</v>
      </c>
      <c r="C6938" s="10" t="s">
        <v>6617</v>
      </c>
      <c r="D6938" s="10" t="s">
        <v>6671</v>
      </c>
      <c r="E6938" s="10" t="str">
        <f>"644020240514004517177698"</f>
        <v>644020240514004517177698</v>
      </c>
      <c r="F6938" s="9"/>
    </row>
    <row r="6939" s="2" customFormat="1" ht="30" customHeight="1" spans="1:6">
      <c r="A6939" s="9">
        <v>6936</v>
      </c>
      <c r="B6939" s="10" t="s">
        <v>6616</v>
      </c>
      <c r="C6939" s="10" t="s">
        <v>6617</v>
      </c>
      <c r="D6939" s="10" t="s">
        <v>6672</v>
      </c>
      <c r="E6939" s="10" t="str">
        <f>"644020240515232518182564"</f>
        <v>644020240515232518182564</v>
      </c>
      <c r="F6939" s="9"/>
    </row>
    <row r="6940" s="2" customFormat="1" ht="30" customHeight="1" spans="1:6">
      <c r="A6940" s="9">
        <v>6937</v>
      </c>
      <c r="B6940" s="10" t="s">
        <v>6616</v>
      </c>
      <c r="C6940" s="10" t="s">
        <v>6617</v>
      </c>
      <c r="D6940" s="10" t="s">
        <v>6673</v>
      </c>
      <c r="E6940" s="10" t="str">
        <f>"644020240516000818182637"</f>
        <v>644020240516000818182637</v>
      </c>
      <c r="F6940" s="9"/>
    </row>
    <row r="6941" s="2" customFormat="1" ht="30" customHeight="1" spans="1:6">
      <c r="A6941" s="9">
        <v>6938</v>
      </c>
      <c r="B6941" s="10" t="s">
        <v>6616</v>
      </c>
      <c r="C6941" s="10" t="s">
        <v>6617</v>
      </c>
      <c r="D6941" s="10" t="s">
        <v>6674</v>
      </c>
      <c r="E6941" s="10" t="str">
        <f>"644020240513075415172185"</f>
        <v>644020240513075415172185</v>
      </c>
      <c r="F6941" s="9"/>
    </row>
    <row r="6942" s="2" customFormat="1" ht="30" customHeight="1" spans="1:6">
      <c r="A6942" s="9">
        <v>6939</v>
      </c>
      <c r="B6942" s="10" t="s">
        <v>6616</v>
      </c>
      <c r="C6942" s="10" t="s">
        <v>6617</v>
      </c>
      <c r="D6942" s="10" t="s">
        <v>6675</v>
      </c>
      <c r="E6942" s="10" t="str">
        <f>"644020240515101843181000"</f>
        <v>644020240515101843181000</v>
      </c>
      <c r="F6942" s="9"/>
    </row>
    <row r="6943" s="2" customFormat="1" ht="30" customHeight="1" spans="1:6">
      <c r="A6943" s="9">
        <v>6940</v>
      </c>
      <c r="B6943" s="10" t="s">
        <v>6616</v>
      </c>
      <c r="C6943" s="10" t="s">
        <v>6617</v>
      </c>
      <c r="D6943" s="10" t="s">
        <v>6676</v>
      </c>
      <c r="E6943" s="10" t="str">
        <f>"644020240512110704168757"</f>
        <v>644020240512110704168757</v>
      </c>
      <c r="F6943" s="9"/>
    </row>
    <row r="6944" s="2" customFormat="1" ht="30" customHeight="1" spans="1:6">
      <c r="A6944" s="9">
        <v>6941</v>
      </c>
      <c r="B6944" s="10" t="s">
        <v>6616</v>
      </c>
      <c r="C6944" s="10" t="s">
        <v>6617</v>
      </c>
      <c r="D6944" s="10" t="s">
        <v>6677</v>
      </c>
      <c r="E6944" s="10" t="str">
        <f>"644020240513201105176766"</f>
        <v>644020240513201105176766</v>
      </c>
      <c r="F6944" s="9"/>
    </row>
    <row r="6945" s="2" customFormat="1" ht="30" customHeight="1" spans="1:6">
      <c r="A6945" s="9">
        <v>6942</v>
      </c>
      <c r="B6945" s="10" t="s">
        <v>6616</v>
      </c>
      <c r="C6945" s="10" t="s">
        <v>6617</v>
      </c>
      <c r="D6945" s="10" t="s">
        <v>6678</v>
      </c>
      <c r="E6945" s="10" t="str">
        <f>"644020240516094355182908"</f>
        <v>644020240516094355182908</v>
      </c>
      <c r="F6945" s="9"/>
    </row>
    <row r="6946" s="2" customFormat="1" ht="30" customHeight="1" spans="1:6">
      <c r="A6946" s="9">
        <v>6943</v>
      </c>
      <c r="B6946" s="10" t="s">
        <v>6616</v>
      </c>
      <c r="C6946" s="10" t="s">
        <v>6617</v>
      </c>
      <c r="D6946" s="10" t="s">
        <v>6679</v>
      </c>
      <c r="E6946" s="10" t="str">
        <f>"644020240516112956183176"</f>
        <v>644020240516112956183176</v>
      </c>
      <c r="F6946" s="9"/>
    </row>
    <row r="6947" s="2" customFormat="1" ht="30" customHeight="1" spans="1:6">
      <c r="A6947" s="9">
        <v>6944</v>
      </c>
      <c r="B6947" s="10" t="s">
        <v>6616</v>
      </c>
      <c r="C6947" s="10" t="s">
        <v>6617</v>
      </c>
      <c r="D6947" s="10" t="s">
        <v>6680</v>
      </c>
      <c r="E6947" s="10" t="str">
        <f>"644020240515173018182009"</f>
        <v>644020240515173018182009</v>
      </c>
      <c r="F6947" s="9"/>
    </row>
    <row r="6948" s="2" customFormat="1" ht="30" customHeight="1" spans="1:6">
      <c r="A6948" s="9">
        <v>6945</v>
      </c>
      <c r="B6948" s="10" t="s">
        <v>6616</v>
      </c>
      <c r="C6948" s="10" t="s">
        <v>6617</v>
      </c>
      <c r="D6948" s="10" t="s">
        <v>6681</v>
      </c>
      <c r="E6948" s="10" t="str">
        <f>"644020240513074230172163"</f>
        <v>644020240513074230172163</v>
      </c>
      <c r="F6948" s="9"/>
    </row>
    <row r="6949" s="2" customFormat="1" ht="30" customHeight="1" spans="1:6">
      <c r="A6949" s="9">
        <v>6946</v>
      </c>
      <c r="B6949" s="10" t="s">
        <v>6616</v>
      </c>
      <c r="C6949" s="10" t="s">
        <v>6617</v>
      </c>
      <c r="D6949" s="10" t="s">
        <v>6682</v>
      </c>
      <c r="E6949" s="10" t="str">
        <f>"644020240516172834183827"</f>
        <v>644020240516172834183827</v>
      </c>
      <c r="F6949" s="9"/>
    </row>
    <row r="6950" s="2" customFormat="1" ht="30" customHeight="1" spans="1:6">
      <c r="A6950" s="9">
        <v>6947</v>
      </c>
      <c r="B6950" s="10" t="s">
        <v>6616</v>
      </c>
      <c r="C6950" s="10" t="s">
        <v>6617</v>
      </c>
      <c r="D6950" s="10" t="s">
        <v>6683</v>
      </c>
      <c r="E6950" s="10" t="str">
        <f>"644020240515165824181949"</f>
        <v>644020240515165824181949</v>
      </c>
      <c r="F6950" s="9"/>
    </row>
    <row r="6951" s="2" customFormat="1" ht="30" customHeight="1" spans="1:6">
      <c r="A6951" s="9">
        <v>6948</v>
      </c>
      <c r="B6951" s="10" t="s">
        <v>6616</v>
      </c>
      <c r="C6951" s="10" t="s">
        <v>6617</v>
      </c>
      <c r="D6951" s="10" t="s">
        <v>4360</v>
      </c>
      <c r="E6951" s="10" t="str">
        <f>"644020240515164753181924"</f>
        <v>644020240515164753181924</v>
      </c>
      <c r="F6951" s="9"/>
    </row>
    <row r="6952" s="2" customFormat="1" ht="30" customHeight="1" spans="1:6">
      <c r="A6952" s="9">
        <v>6949</v>
      </c>
      <c r="B6952" s="10" t="s">
        <v>6616</v>
      </c>
      <c r="C6952" s="10" t="s">
        <v>6617</v>
      </c>
      <c r="D6952" s="10" t="s">
        <v>6684</v>
      </c>
      <c r="E6952" s="10" t="str">
        <f>"644020240516212848184132"</f>
        <v>644020240516212848184132</v>
      </c>
      <c r="F6952" s="9"/>
    </row>
    <row r="6953" s="2" customFormat="1" ht="30" customHeight="1" spans="1:6">
      <c r="A6953" s="9">
        <v>6950</v>
      </c>
      <c r="B6953" s="10" t="s">
        <v>6616</v>
      </c>
      <c r="C6953" s="10" t="s">
        <v>6617</v>
      </c>
      <c r="D6953" s="10" t="s">
        <v>6685</v>
      </c>
      <c r="E6953" s="10" t="str">
        <f>"644020240516174332183858"</f>
        <v>644020240516174332183858</v>
      </c>
      <c r="F6953" s="9"/>
    </row>
    <row r="6954" s="2" customFormat="1" ht="30" customHeight="1" spans="1:6">
      <c r="A6954" s="9">
        <v>6951</v>
      </c>
      <c r="B6954" s="10" t="s">
        <v>6616</v>
      </c>
      <c r="C6954" s="10" t="s">
        <v>6617</v>
      </c>
      <c r="D6954" s="10" t="s">
        <v>6686</v>
      </c>
      <c r="E6954" s="10" t="str">
        <f>"644020240516235939184459"</f>
        <v>644020240516235939184459</v>
      </c>
      <c r="F6954" s="9"/>
    </row>
    <row r="6955" s="2" customFormat="1" ht="30" customHeight="1" spans="1:6">
      <c r="A6955" s="9">
        <v>6952</v>
      </c>
      <c r="B6955" s="10" t="s">
        <v>6616</v>
      </c>
      <c r="C6955" s="10" t="s">
        <v>6617</v>
      </c>
      <c r="D6955" s="10" t="s">
        <v>6687</v>
      </c>
      <c r="E6955" s="10" t="str">
        <f>"644020240517090809184702"</f>
        <v>644020240517090809184702</v>
      </c>
      <c r="F6955" s="9"/>
    </row>
    <row r="6956" s="2" customFormat="1" ht="30" customHeight="1" spans="1:6">
      <c r="A6956" s="9">
        <v>6953</v>
      </c>
      <c r="B6956" s="10" t="s">
        <v>6616</v>
      </c>
      <c r="C6956" s="10" t="s">
        <v>6617</v>
      </c>
      <c r="D6956" s="10" t="s">
        <v>4881</v>
      </c>
      <c r="E6956" s="10" t="str">
        <f>"644020240517102625184873"</f>
        <v>644020240517102625184873</v>
      </c>
      <c r="F6956" s="9"/>
    </row>
    <row r="6957" s="2" customFormat="1" ht="30" customHeight="1" spans="1:6">
      <c r="A6957" s="9">
        <v>6954</v>
      </c>
      <c r="B6957" s="10" t="s">
        <v>6616</v>
      </c>
      <c r="C6957" s="10" t="s">
        <v>6617</v>
      </c>
      <c r="D6957" s="10" t="s">
        <v>6688</v>
      </c>
      <c r="E6957" s="10" t="str">
        <f>"644020240517005616184515"</f>
        <v>644020240517005616184515</v>
      </c>
      <c r="F6957" s="9"/>
    </row>
    <row r="6958" s="2" customFormat="1" ht="30" customHeight="1" spans="1:6">
      <c r="A6958" s="9">
        <v>6955</v>
      </c>
      <c r="B6958" s="10" t="s">
        <v>6616</v>
      </c>
      <c r="C6958" s="10" t="s">
        <v>6617</v>
      </c>
      <c r="D6958" s="10" t="s">
        <v>6689</v>
      </c>
      <c r="E6958" s="10" t="str">
        <f>"644020240517111805184988"</f>
        <v>644020240517111805184988</v>
      </c>
      <c r="F6958" s="9"/>
    </row>
    <row r="6959" s="2" customFormat="1" ht="30" customHeight="1" spans="1:6">
      <c r="A6959" s="9">
        <v>6956</v>
      </c>
      <c r="B6959" s="10" t="s">
        <v>6616</v>
      </c>
      <c r="C6959" s="10" t="s">
        <v>6617</v>
      </c>
      <c r="D6959" s="10" t="s">
        <v>6690</v>
      </c>
      <c r="E6959" s="10" t="str">
        <f>"644020240517130133185202"</f>
        <v>644020240517130133185202</v>
      </c>
      <c r="F6959" s="9"/>
    </row>
    <row r="6960" s="2" customFormat="1" ht="30" customHeight="1" spans="1:6">
      <c r="A6960" s="9">
        <v>6957</v>
      </c>
      <c r="B6960" s="10" t="s">
        <v>6616</v>
      </c>
      <c r="C6960" s="10" t="s">
        <v>6617</v>
      </c>
      <c r="D6960" s="10" t="s">
        <v>6691</v>
      </c>
      <c r="E6960" s="10" t="str">
        <f>"644020240517132347185253"</f>
        <v>644020240517132347185253</v>
      </c>
      <c r="F6960" s="9"/>
    </row>
    <row r="6961" s="2" customFormat="1" ht="30" customHeight="1" spans="1:6">
      <c r="A6961" s="9">
        <v>6958</v>
      </c>
      <c r="B6961" s="10" t="s">
        <v>6616</v>
      </c>
      <c r="C6961" s="10" t="s">
        <v>6617</v>
      </c>
      <c r="D6961" s="10" t="s">
        <v>6692</v>
      </c>
      <c r="E6961" s="10" t="str">
        <f>"644020240515221018182364"</f>
        <v>644020240515221018182364</v>
      </c>
      <c r="F6961" s="9"/>
    </row>
    <row r="6962" s="2" customFormat="1" ht="30" customHeight="1" spans="1:6">
      <c r="A6962" s="9">
        <v>6959</v>
      </c>
      <c r="B6962" s="10" t="s">
        <v>6616</v>
      </c>
      <c r="C6962" s="10" t="s">
        <v>6617</v>
      </c>
      <c r="D6962" s="10" t="s">
        <v>6693</v>
      </c>
      <c r="E6962" s="10" t="str">
        <f>"644020240516124013183296"</f>
        <v>644020240516124013183296</v>
      </c>
      <c r="F6962" s="9"/>
    </row>
    <row r="6963" s="2" customFormat="1" ht="30" customHeight="1" spans="1:6">
      <c r="A6963" s="9">
        <v>6960</v>
      </c>
      <c r="B6963" s="10" t="s">
        <v>6616</v>
      </c>
      <c r="C6963" s="10" t="s">
        <v>6617</v>
      </c>
      <c r="D6963" s="10" t="s">
        <v>6694</v>
      </c>
      <c r="E6963" s="10" t="str">
        <f>"644020240517131812185244"</f>
        <v>644020240517131812185244</v>
      </c>
      <c r="F6963" s="9"/>
    </row>
    <row r="6964" s="2" customFormat="1" ht="30" customHeight="1" spans="1:6">
      <c r="A6964" s="9">
        <v>6961</v>
      </c>
      <c r="B6964" s="10" t="s">
        <v>6616</v>
      </c>
      <c r="C6964" s="10" t="s">
        <v>6617</v>
      </c>
      <c r="D6964" s="10" t="s">
        <v>6695</v>
      </c>
      <c r="E6964" s="10" t="str">
        <f>"644020240517133132185262"</f>
        <v>644020240517133132185262</v>
      </c>
      <c r="F6964" s="9"/>
    </row>
    <row r="6965" s="2" customFormat="1" ht="30" customHeight="1" spans="1:6">
      <c r="A6965" s="9">
        <v>6962</v>
      </c>
      <c r="B6965" s="10" t="s">
        <v>6616</v>
      </c>
      <c r="C6965" s="10" t="s">
        <v>6617</v>
      </c>
      <c r="D6965" s="10" t="s">
        <v>6696</v>
      </c>
      <c r="E6965" s="10" t="str">
        <f>"644020240514101545178343"</f>
        <v>644020240514101545178343</v>
      </c>
      <c r="F6965" s="9"/>
    </row>
    <row r="6966" s="2" customFormat="1" ht="30" customHeight="1" spans="1:6">
      <c r="A6966" s="9">
        <v>6963</v>
      </c>
      <c r="B6966" s="10" t="s">
        <v>6616</v>
      </c>
      <c r="C6966" s="10" t="s">
        <v>6617</v>
      </c>
      <c r="D6966" s="10" t="s">
        <v>6697</v>
      </c>
      <c r="E6966" s="10" t="str">
        <f>"644020240517151901185475"</f>
        <v>644020240517151901185475</v>
      </c>
      <c r="F6966" s="9"/>
    </row>
    <row r="6967" s="2" customFormat="1" ht="30" customHeight="1" spans="1:6">
      <c r="A6967" s="9">
        <v>6964</v>
      </c>
      <c r="B6967" s="10" t="s">
        <v>6616</v>
      </c>
      <c r="C6967" s="10" t="s">
        <v>6617</v>
      </c>
      <c r="D6967" s="10" t="s">
        <v>6698</v>
      </c>
      <c r="E6967" s="10" t="str">
        <f>"644020240517105211184930"</f>
        <v>644020240517105211184930</v>
      </c>
      <c r="F6967" s="9"/>
    </row>
    <row r="6968" s="2" customFormat="1" ht="30" customHeight="1" spans="1:6">
      <c r="A6968" s="9">
        <v>6965</v>
      </c>
      <c r="B6968" s="10" t="s">
        <v>6616</v>
      </c>
      <c r="C6968" s="10" t="s">
        <v>6617</v>
      </c>
      <c r="D6968" s="10" t="s">
        <v>6699</v>
      </c>
      <c r="E6968" s="10" t="str">
        <f>"644020240515125309181404"</f>
        <v>644020240515125309181404</v>
      </c>
      <c r="F6968" s="9"/>
    </row>
    <row r="6969" s="2" customFormat="1" ht="30" customHeight="1" spans="1:6">
      <c r="A6969" s="9">
        <v>6966</v>
      </c>
      <c r="B6969" s="10" t="s">
        <v>6616</v>
      </c>
      <c r="C6969" s="10" t="s">
        <v>6617</v>
      </c>
      <c r="D6969" s="10" t="s">
        <v>6700</v>
      </c>
      <c r="E6969" s="10" t="str">
        <f>"644020240517175030185778"</f>
        <v>644020240517175030185778</v>
      </c>
      <c r="F6969" s="9"/>
    </row>
    <row r="6970" s="2" customFormat="1" ht="30" customHeight="1" spans="1:6">
      <c r="A6970" s="9">
        <v>6967</v>
      </c>
      <c r="B6970" s="10" t="s">
        <v>6616</v>
      </c>
      <c r="C6970" s="10" t="s">
        <v>6617</v>
      </c>
      <c r="D6970" s="10" t="s">
        <v>6701</v>
      </c>
      <c r="E6970" s="10" t="str">
        <f>"644020240517172642185736"</f>
        <v>644020240517172642185736</v>
      </c>
      <c r="F6970" s="9"/>
    </row>
    <row r="6971" s="2" customFormat="1" ht="30" customHeight="1" spans="1:6">
      <c r="A6971" s="9">
        <v>6968</v>
      </c>
      <c r="B6971" s="10" t="s">
        <v>6616</v>
      </c>
      <c r="C6971" s="10" t="s">
        <v>6617</v>
      </c>
      <c r="D6971" s="10" t="s">
        <v>6702</v>
      </c>
      <c r="E6971" s="10" t="str">
        <f>"644020240516114340183193"</f>
        <v>644020240516114340183193</v>
      </c>
      <c r="F6971" s="9"/>
    </row>
    <row r="6972" s="2" customFormat="1" ht="30" customHeight="1" spans="1:6">
      <c r="A6972" s="9">
        <v>6969</v>
      </c>
      <c r="B6972" s="10" t="s">
        <v>6616</v>
      </c>
      <c r="C6972" s="10" t="s">
        <v>6617</v>
      </c>
      <c r="D6972" s="10" t="s">
        <v>6703</v>
      </c>
      <c r="E6972" s="10" t="str">
        <f>"644020240516164434183721"</f>
        <v>644020240516164434183721</v>
      </c>
      <c r="F6972" s="9"/>
    </row>
    <row r="6973" s="2" customFormat="1" ht="30" customHeight="1" spans="1:6">
      <c r="A6973" s="9">
        <v>6970</v>
      </c>
      <c r="B6973" s="10" t="s">
        <v>6616</v>
      </c>
      <c r="C6973" s="10" t="s">
        <v>6617</v>
      </c>
      <c r="D6973" s="10" t="s">
        <v>6704</v>
      </c>
      <c r="E6973" s="10" t="str">
        <f>"644020240517193440185894"</f>
        <v>644020240517193440185894</v>
      </c>
      <c r="F6973" s="9"/>
    </row>
    <row r="6974" s="2" customFormat="1" ht="30" customHeight="1" spans="1:6">
      <c r="A6974" s="9">
        <v>6971</v>
      </c>
      <c r="B6974" s="10" t="s">
        <v>6616</v>
      </c>
      <c r="C6974" s="10" t="s">
        <v>6617</v>
      </c>
      <c r="D6974" s="10" t="s">
        <v>6705</v>
      </c>
      <c r="E6974" s="10" t="str">
        <f>"644020240517194053185904"</f>
        <v>644020240517194053185904</v>
      </c>
      <c r="F6974" s="9"/>
    </row>
    <row r="6975" s="2" customFormat="1" ht="30" customHeight="1" spans="1:6">
      <c r="A6975" s="9">
        <v>6972</v>
      </c>
      <c r="B6975" s="10" t="s">
        <v>6616</v>
      </c>
      <c r="C6975" s="10" t="s">
        <v>6617</v>
      </c>
      <c r="D6975" s="10" t="s">
        <v>6706</v>
      </c>
      <c r="E6975" s="10" t="str">
        <f>"644020240517112120184998"</f>
        <v>644020240517112120184998</v>
      </c>
      <c r="F6975" s="9"/>
    </row>
    <row r="6976" s="2" customFormat="1" ht="30" customHeight="1" spans="1:6">
      <c r="A6976" s="9">
        <v>6973</v>
      </c>
      <c r="B6976" s="10" t="s">
        <v>6616</v>
      </c>
      <c r="C6976" s="10" t="s">
        <v>6617</v>
      </c>
      <c r="D6976" s="10" t="s">
        <v>6707</v>
      </c>
      <c r="E6976" s="10" t="str">
        <f>"644020240517154403185548"</f>
        <v>644020240517154403185548</v>
      </c>
      <c r="F6976" s="9"/>
    </row>
    <row r="6977" s="2" customFormat="1" ht="30" customHeight="1" spans="1:6">
      <c r="A6977" s="9">
        <v>6974</v>
      </c>
      <c r="B6977" s="10" t="s">
        <v>6616</v>
      </c>
      <c r="C6977" s="10" t="s">
        <v>6617</v>
      </c>
      <c r="D6977" s="10" t="s">
        <v>6708</v>
      </c>
      <c r="E6977" s="10" t="str">
        <f>"644020240512163332170019"</f>
        <v>644020240512163332170019</v>
      </c>
      <c r="F6977" s="9"/>
    </row>
    <row r="6978" s="2" customFormat="1" ht="30" customHeight="1" spans="1:6">
      <c r="A6978" s="9">
        <v>6975</v>
      </c>
      <c r="B6978" s="10" t="s">
        <v>6616</v>
      </c>
      <c r="C6978" s="10" t="s">
        <v>6617</v>
      </c>
      <c r="D6978" s="10" t="s">
        <v>6709</v>
      </c>
      <c r="E6978" s="10" t="str">
        <f>"644020240517153212185515"</f>
        <v>644020240517153212185515</v>
      </c>
      <c r="F6978" s="9"/>
    </row>
    <row r="6979" s="2" customFormat="1" ht="30" customHeight="1" spans="1:6">
      <c r="A6979" s="9">
        <v>6976</v>
      </c>
      <c r="B6979" s="10" t="s">
        <v>6616</v>
      </c>
      <c r="C6979" s="10" t="s">
        <v>6617</v>
      </c>
      <c r="D6979" s="10" t="s">
        <v>6710</v>
      </c>
      <c r="E6979" s="10" t="str">
        <f>"644020240517122352185116"</f>
        <v>644020240517122352185116</v>
      </c>
      <c r="F6979" s="9"/>
    </row>
    <row r="6980" s="2" customFormat="1" ht="30" customHeight="1" spans="1:6">
      <c r="A6980" s="9">
        <v>6977</v>
      </c>
      <c r="B6980" s="10" t="s">
        <v>6616</v>
      </c>
      <c r="C6980" s="10" t="s">
        <v>6617</v>
      </c>
      <c r="D6980" s="10" t="s">
        <v>279</v>
      </c>
      <c r="E6980" s="10" t="str">
        <f>"644020240518035559186299"</f>
        <v>644020240518035559186299</v>
      </c>
      <c r="F6980" s="9"/>
    </row>
    <row r="6981" s="2" customFormat="1" ht="30" customHeight="1" spans="1:6">
      <c r="A6981" s="9">
        <v>6978</v>
      </c>
      <c r="B6981" s="10" t="s">
        <v>6616</v>
      </c>
      <c r="C6981" s="10" t="s">
        <v>6617</v>
      </c>
      <c r="D6981" s="10" t="s">
        <v>6711</v>
      </c>
      <c r="E6981" s="10" t="str">
        <f>"644020240517091038184708"</f>
        <v>644020240517091038184708</v>
      </c>
      <c r="F6981" s="9"/>
    </row>
    <row r="6982" s="2" customFormat="1" ht="30" customHeight="1" spans="1:6">
      <c r="A6982" s="9">
        <v>6979</v>
      </c>
      <c r="B6982" s="10" t="s">
        <v>6616</v>
      </c>
      <c r="C6982" s="10" t="s">
        <v>6617</v>
      </c>
      <c r="D6982" s="10" t="s">
        <v>6712</v>
      </c>
      <c r="E6982" s="10" t="str">
        <f>"644020240515105138181116"</f>
        <v>644020240515105138181116</v>
      </c>
      <c r="F6982" s="9"/>
    </row>
    <row r="6983" s="2" customFormat="1" ht="30" customHeight="1" spans="1:6">
      <c r="A6983" s="9">
        <v>6980</v>
      </c>
      <c r="B6983" s="10" t="s">
        <v>6616</v>
      </c>
      <c r="C6983" s="10" t="s">
        <v>6617</v>
      </c>
      <c r="D6983" s="10" t="s">
        <v>6713</v>
      </c>
      <c r="E6983" s="10" t="str">
        <f>"644020240513165003176050"</f>
        <v>644020240513165003176050</v>
      </c>
      <c r="F6983" s="9"/>
    </row>
    <row r="6984" s="2" customFormat="1" ht="30" customHeight="1" spans="1:6">
      <c r="A6984" s="9">
        <v>6981</v>
      </c>
      <c r="B6984" s="10" t="s">
        <v>6616</v>
      </c>
      <c r="C6984" s="10" t="s">
        <v>6617</v>
      </c>
      <c r="D6984" s="10" t="s">
        <v>6714</v>
      </c>
      <c r="E6984" s="10" t="str">
        <f>"644020240517193020185888"</f>
        <v>644020240517193020185888</v>
      </c>
      <c r="F6984" s="9"/>
    </row>
    <row r="6985" s="2" customFormat="1" ht="30" customHeight="1" spans="1:6">
      <c r="A6985" s="9">
        <v>6982</v>
      </c>
      <c r="B6985" s="10" t="s">
        <v>6616</v>
      </c>
      <c r="C6985" s="10" t="s">
        <v>6617</v>
      </c>
      <c r="D6985" s="10" t="s">
        <v>6715</v>
      </c>
      <c r="E6985" s="10" t="str">
        <f>"644020240516001015182640"</f>
        <v>644020240516001015182640</v>
      </c>
      <c r="F6985" s="9"/>
    </row>
    <row r="6986" s="2" customFormat="1" ht="30" customHeight="1" spans="1:6">
      <c r="A6986" s="9">
        <v>6983</v>
      </c>
      <c r="B6986" s="10" t="s">
        <v>6616</v>
      </c>
      <c r="C6986" s="10" t="s">
        <v>6617</v>
      </c>
      <c r="D6986" s="10" t="s">
        <v>6716</v>
      </c>
      <c r="E6986" s="10" t="str">
        <f>"644020240515002226180595"</f>
        <v>644020240515002226180595</v>
      </c>
      <c r="F6986" s="9"/>
    </row>
    <row r="6987" s="2" customFormat="1" ht="30" customHeight="1" spans="1:6">
      <c r="A6987" s="9">
        <v>6984</v>
      </c>
      <c r="B6987" s="10" t="s">
        <v>6616</v>
      </c>
      <c r="C6987" s="10" t="s">
        <v>6617</v>
      </c>
      <c r="D6987" s="10" t="s">
        <v>6717</v>
      </c>
      <c r="E6987" s="10" t="str">
        <f>"644020240518103015186645"</f>
        <v>644020240518103015186645</v>
      </c>
      <c r="F6987" s="9"/>
    </row>
    <row r="6988" s="2" customFormat="1" ht="30" customHeight="1" spans="1:6">
      <c r="A6988" s="9">
        <v>6985</v>
      </c>
      <c r="B6988" s="10" t="s">
        <v>6616</v>
      </c>
      <c r="C6988" s="10" t="s">
        <v>6617</v>
      </c>
      <c r="D6988" s="10" t="s">
        <v>6718</v>
      </c>
      <c r="E6988" s="10" t="str">
        <f>"644020240518110039186713"</f>
        <v>644020240518110039186713</v>
      </c>
      <c r="F6988" s="9"/>
    </row>
    <row r="6989" s="2" customFormat="1" ht="30" customHeight="1" spans="1:6">
      <c r="A6989" s="9">
        <v>6986</v>
      </c>
      <c r="B6989" s="10" t="s">
        <v>6616</v>
      </c>
      <c r="C6989" s="10" t="s">
        <v>6617</v>
      </c>
      <c r="D6989" s="10" t="s">
        <v>6719</v>
      </c>
      <c r="E6989" s="10" t="str">
        <f>"644020240518114722186792"</f>
        <v>644020240518114722186792</v>
      </c>
      <c r="F6989" s="9"/>
    </row>
    <row r="6990" s="2" customFormat="1" ht="30" customHeight="1" spans="1:6">
      <c r="A6990" s="9">
        <v>6987</v>
      </c>
      <c r="B6990" s="10" t="s">
        <v>6616</v>
      </c>
      <c r="C6990" s="10" t="s">
        <v>6617</v>
      </c>
      <c r="D6990" s="10" t="s">
        <v>5879</v>
      </c>
      <c r="E6990" s="10" t="str">
        <f>"644020240518111254186731"</f>
        <v>644020240518111254186731</v>
      </c>
      <c r="F6990" s="9"/>
    </row>
    <row r="6991" s="2" customFormat="1" ht="30" customHeight="1" spans="1:6">
      <c r="A6991" s="9">
        <v>6988</v>
      </c>
      <c r="B6991" s="10" t="s">
        <v>6616</v>
      </c>
      <c r="C6991" s="10" t="s">
        <v>6617</v>
      </c>
      <c r="D6991" s="10" t="s">
        <v>6720</v>
      </c>
      <c r="E6991" s="10" t="str">
        <f>"644020240518111553186733"</f>
        <v>644020240518111553186733</v>
      </c>
      <c r="F6991" s="9"/>
    </row>
    <row r="6992" s="2" customFormat="1" ht="30" customHeight="1" spans="1:6">
      <c r="A6992" s="9">
        <v>6989</v>
      </c>
      <c r="B6992" s="10" t="s">
        <v>6721</v>
      </c>
      <c r="C6992" s="10" t="s">
        <v>6722</v>
      </c>
      <c r="D6992" s="10" t="s">
        <v>6723</v>
      </c>
      <c r="E6992" s="10" t="str">
        <f>"644020240512100452168413"</f>
        <v>644020240512100452168413</v>
      </c>
      <c r="F6992" s="9"/>
    </row>
    <row r="6993" s="2" customFormat="1" ht="30" customHeight="1" spans="1:6">
      <c r="A6993" s="9">
        <v>6990</v>
      </c>
      <c r="B6993" s="10" t="s">
        <v>6721</v>
      </c>
      <c r="C6993" s="10" t="s">
        <v>6722</v>
      </c>
      <c r="D6993" s="10" t="s">
        <v>6724</v>
      </c>
      <c r="E6993" s="10" t="str">
        <f>"644020240512102157168514"</f>
        <v>644020240512102157168514</v>
      </c>
      <c r="F6993" s="9"/>
    </row>
    <row r="6994" s="2" customFormat="1" ht="30" customHeight="1" spans="1:6">
      <c r="A6994" s="9">
        <v>6991</v>
      </c>
      <c r="B6994" s="10" t="s">
        <v>6721</v>
      </c>
      <c r="C6994" s="10" t="s">
        <v>6722</v>
      </c>
      <c r="D6994" s="10" t="s">
        <v>6725</v>
      </c>
      <c r="E6994" s="10" t="str">
        <f>"644020240512123540169141"</f>
        <v>644020240512123540169141</v>
      </c>
      <c r="F6994" s="9"/>
    </row>
    <row r="6995" s="2" customFormat="1" ht="30" customHeight="1" spans="1:6">
      <c r="A6995" s="9">
        <v>6992</v>
      </c>
      <c r="B6995" s="10" t="s">
        <v>6721</v>
      </c>
      <c r="C6995" s="10" t="s">
        <v>6722</v>
      </c>
      <c r="D6995" s="10" t="s">
        <v>6726</v>
      </c>
      <c r="E6995" s="10" t="str">
        <f>"644020240512112359168854"</f>
        <v>644020240512112359168854</v>
      </c>
      <c r="F6995" s="9"/>
    </row>
    <row r="6996" s="2" customFormat="1" ht="30" customHeight="1" spans="1:6">
      <c r="A6996" s="9">
        <v>6993</v>
      </c>
      <c r="B6996" s="10" t="s">
        <v>6721</v>
      </c>
      <c r="C6996" s="10" t="s">
        <v>6722</v>
      </c>
      <c r="D6996" s="10" t="s">
        <v>6727</v>
      </c>
      <c r="E6996" s="10" t="str">
        <f>"644020240512124814169202"</f>
        <v>644020240512124814169202</v>
      </c>
      <c r="F6996" s="9"/>
    </row>
    <row r="6997" s="2" customFormat="1" ht="30" customHeight="1" spans="1:6">
      <c r="A6997" s="9">
        <v>6994</v>
      </c>
      <c r="B6997" s="10" t="s">
        <v>6721</v>
      </c>
      <c r="C6997" s="10" t="s">
        <v>6722</v>
      </c>
      <c r="D6997" s="10" t="s">
        <v>6728</v>
      </c>
      <c r="E6997" s="10" t="str">
        <f>"644020240512190210170516"</f>
        <v>644020240512190210170516</v>
      </c>
      <c r="F6997" s="9"/>
    </row>
    <row r="6998" s="2" customFormat="1" ht="30" customHeight="1" spans="1:6">
      <c r="A6998" s="9">
        <v>6995</v>
      </c>
      <c r="B6998" s="10" t="s">
        <v>6721</v>
      </c>
      <c r="C6998" s="10" t="s">
        <v>6722</v>
      </c>
      <c r="D6998" s="10" t="s">
        <v>6729</v>
      </c>
      <c r="E6998" s="10" t="str">
        <f>"644020240512200430170726"</f>
        <v>644020240512200430170726</v>
      </c>
      <c r="F6998" s="9"/>
    </row>
    <row r="6999" s="2" customFormat="1" ht="30" customHeight="1" spans="1:6">
      <c r="A6999" s="9">
        <v>6996</v>
      </c>
      <c r="B6999" s="10" t="s">
        <v>6721</v>
      </c>
      <c r="C6999" s="10" t="s">
        <v>6722</v>
      </c>
      <c r="D6999" s="10" t="s">
        <v>6730</v>
      </c>
      <c r="E6999" s="10" t="str">
        <f>"644020240512204118170891"</f>
        <v>644020240512204118170891</v>
      </c>
      <c r="F6999" s="9"/>
    </row>
    <row r="7000" s="2" customFormat="1" ht="30" customHeight="1" spans="1:6">
      <c r="A7000" s="9">
        <v>6997</v>
      </c>
      <c r="B7000" s="10" t="s">
        <v>6721</v>
      </c>
      <c r="C7000" s="10" t="s">
        <v>6722</v>
      </c>
      <c r="D7000" s="10" t="s">
        <v>6731</v>
      </c>
      <c r="E7000" s="10" t="str">
        <f>"644020240512210228171003"</f>
        <v>644020240512210228171003</v>
      </c>
      <c r="F7000" s="9"/>
    </row>
    <row r="7001" s="2" customFormat="1" ht="30" customHeight="1" spans="1:6">
      <c r="A7001" s="9">
        <v>6998</v>
      </c>
      <c r="B7001" s="10" t="s">
        <v>6721</v>
      </c>
      <c r="C7001" s="10" t="s">
        <v>6722</v>
      </c>
      <c r="D7001" s="10" t="s">
        <v>6732</v>
      </c>
      <c r="E7001" s="10" t="str">
        <f>"644020240513082125172260"</f>
        <v>644020240513082125172260</v>
      </c>
      <c r="F7001" s="9"/>
    </row>
    <row r="7002" s="2" customFormat="1" ht="30" customHeight="1" spans="1:6">
      <c r="A7002" s="9">
        <v>6999</v>
      </c>
      <c r="B7002" s="10" t="s">
        <v>6721</v>
      </c>
      <c r="C7002" s="10" t="s">
        <v>6722</v>
      </c>
      <c r="D7002" s="10" t="s">
        <v>6733</v>
      </c>
      <c r="E7002" s="10" t="str">
        <f>"644020240513085026172422"</f>
        <v>644020240513085026172422</v>
      </c>
      <c r="F7002" s="9"/>
    </row>
    <row r="7003" s="2" customFormat="1" ht="30" customHeight="1" spans="1:6">
      <c r="A7003" s="9">
        <v>7000</v>
      </c>
      <c r="B7003" s="10" t="s">
        <v>6721</v>
      </c>
      <c r="C7003" s="10" t="s">
        <v>6722</v>
      </c>
      <c r="D7003" s="10" t="s">
        <v>6734</v>
      </c>
      <c r="E7003" s="10" t="str">
        <f>"644020240513093427172852"</f>
        <v>644020240513093427172852</v>
      </c>
      <c r="F7003" s="9"/>
    </row>
    <row r="7004" s="2" customFormat="1" ht="30" customHeight="1" spans="1:6">
      <c r="A7004" s="9">
        <v>7001</v>
      </c>
      <c r="B7004" s="10" t="s">
        <v>6721</v>
      </c>
      <c r="C7004" s="10" t="s">
        <v>6722</v>
      </c>
      <c r="D7004" s="10" t="s">
        <v>6735</v>
      </c>
      <c r="E7004" s="10" t="str">
        <f>"644020240513100936173205"</f>
        <v>644020240513100936173205</v>
      </c>
      <c r="F7004" s="9"/>
    </row>
    <row r="7005" s="2" customFormat="1" ht="30" customHeight="1" spans="1:6">
      <c r="A7005" s="9">
        <v>7002</v>
      </c>
      <c r="B7005" s="10" t="s">
        <v>6721</v>
      </c>
      <c r="C7005" s="10" t="s">
        <v>6722</v>
      </c>
      <c r="D7005" s="10" t="s">
        <v>6736</v>
      </c>
      <c r="E7005" s="10" t="str">
        <f>"644020240513095206173042"</f>
        <v>644020240513095206173042</v>
      </c>
      <c r="F7005" s="9"/>
    </row>
    <row r="7006" s="2" customFormat="1" ht="30" customHeight="1" spans="1:6">
      <c r="A7006" s="9">
        <v>7003</v>
      </c>
      <c r="B7006" s="10" t="s">
        <v>6721</v>
      </c>
      <c r="C7006" s="10" t="s">
        <v>6722</v>
      </c>
      <c r="D7006" s="10" t="s">
        <v>1356</v>
      </c>
      <c r="E7006" s="10" t="str">
        <f>"644020240512164403170051"</f>
        <v>644020240512164403170051</v>
      </c>
      <c r="F7006" s="9"/>
    </row>
    <row r="7007" s="2" customFormat="1" ht="30" customHeight="1" spans="1:6">
      <c r="A7007" s="9">
        <v>7004</v>
      </c>
      <c r="B7007" s="10" t="s">
        <v>6721</v>
      </c>
      <c r="C7007" s="10" t="s">
        <v>6722</v>
      </c>
      <c r="D7007" s="10" t="s">
        <v>6737</v>
      </c>
      <c r="E7007" s="10" t="str">
        <f>"644020240513104157173528"</f>
        <v>644020240513104157173528</v>
      </c>
      <c r="F7007" s="9"/>
    </row>
    <row r="7008" s="2" customFormat="1" ht="30" customHeight="1" spans="1:6">
      <c r="A7008" s="9">
        <v>7005</v>
      </c>
      <c r="B7008" s="10" t="s">
        <v>6721</v>
      </c>
      <c r="C7008" s="10" t="s">
        <v>6722</v>
      </c>
      <c r="D7008" s="10" t="s">
        <v>6738</v>
      </c>
      <c r="E7008" s="10" t="str">
        <f>"644020240513081017172217"</f>
        <v>644020240513081017172217</v>
      </c>
      <c r="F7008" s="9"/>
    </row>
    <row r="7009" s="2" customFormat="1" ht="30" customHeight="1" spans="1:6">
      <c r="A7009" s="9">
        <v>7006</v>
      </c>
      <c r="B7009" s="10" t="s">
        <v>6721</v>
      </c>
      <c r="C7009" s="10" t="s">
        <v>6722</v>
      </c>
      <c r="D7009" s="10" t="s">
        <v>6739</v>
      </c>
      <c r="E7009" s="10" t="str">
        <f>"644020240513105638173657"</f>
        <v>644020240513105638173657</v>
      </c>
      <c r="F7009" s="9"/>
    </row>
    <row r="7010" s="2" customFormat="1" ht="30" customHeight="1" spans="1:6">
      <c r="A7010" s="9">
        <v>7007</v>
      </c>
      <c r="B7010" s="10" t="s">
        <v>6721</v>
      </c>
      <c r="C7010" s="10" t="s">
        <v>6722</v>
      </c>
      <c r="D7010" s="10" t="s">
        <v>6740</v>
      </c>
      <c r="E7010" s="10" t="str">
        <f>"644020240513104309173538"</f>
        <v>644020240513104309173538</v>
      </c>
      <c r="F7010" s="9"/>
    </row>
    <row r="7011" s="2" customFormat="1" ht="30" customHeight="1" spans="1:6">
      <c r="A7011" s="9">
        <v>7008</v>
      </c>
      <c r="B7011" s="10" t="s">
        <v>6721</v>
      </c>
      <c r="C7011" s="10" t="s">
        <v>6722</v>
      </c>
      <c r="D7011" s="10" t="s">
        <v>6741</v>
      </c>
      <c r="E7011" s="10" t="str">
        <f>"644020240513121728174231"</f>
        <v>644020240513121728174231</v>
      </c>
      <c r="F7011" s="9"/>
    </row>
    <row r="7012" s="2" customFormat="1" ht="30" customHeight="1" spans="1:6">
      <c r="A7012" s="9">
        <v>7009</v>
      </c>
      <c r="B7012" s="10" t="s">
        <v>6721</v>
      </c>
      <c r="C7012" s="10" t="s">
        <v>6722</v>
      </c>
      <c r="D7012" s="10" t="s">
        <v>6742</v>
      </c>
      <c r="E7012" s="10" t="str">
        <f>"644020240513121126174195"</f>
        <v>644020240513121126174195</v>
      </c>
      <c r="F7012" s="9"/>
    </row>
    <row r="7013" s="2" customFormat="1" ht="30" customHeight="1" spans="1:6">
      <c r="A7013" s="9">
        <v>7010</v>
      </c>
      <c r="B7013" s="10" t="s">
        <v>6721</v>
      </c>
      <c r="C7013" s="10" t="s">
        <v>6722</v>
      </c>
      <c r="D7013" s="10" t="s">
        <v>6743</v>
      </c>
      <c r="E7013" s="10" t="str">
        <f>"644020240513121240174203"</f>
        <v>644020240513121240174203</v>
      </c>
      <c r="F7013" s="9"/>
    </row>
    <row r="7014" s="2" customFormat="1" ht="30" customHeight="1" spans="1:6">
      <c r="A7014" s="9">
        <v>7011</v>
      </c>
      <c r="B7014" s="10" t="s">
        <v>6721</v>
      </c>
      <c r="C7014" s="10" t="s">
        <v>6722</v>
      </c>
      <c r="D7014" s="10" t="s">
        <v>6744</v>
      </c>
      <c r="E7014" s="10" t="str">
        <f>"644020240513125535174489"</f>
        <v>644020240513125535174489</v>
      </c>
      <c r="F7014" s="9"/>
    </row>
    <row r="7015" s="2" customFormat="1" ht="30" customHeight="1" spans="1:6">
      <c r="A7015" s="9">
        <v>7012</v>
      </c>
      <c r="B7015" s="10" t="s">
        <v>6721</v>
      </c>
      <c r="C7015" s="10" t="s">
        <v>6722</v>
      </c>
      <c r="D7015" s="10" t="s">
        <v>6745</v>
      </c>
      <c r="E7015" s="10" t="str">
        <f>"644020240513110656173751"</f>
        <v>644020240513110656173751</v>
      </c>
      <c r="F7015" s="9"/>
    </row>
    <row r="7016" s="2" customFormat="1" ht="30" customHeight="1" spans="1:6">
      <c r="A7016" s="9">
        <v>7013</v>
      </c>
      <c r="B7016" s="10" t="s">
        <v>6721</v>
      </c>
      <c r="C7016" s="10" t="s">
        <v>6722</v>
      </c>
      <c r="D7016" s="10" t="s">
        <v>6746</v>
      </c>
      <c r="E7016" s="10" t="str">
        <f>"644020240513124145174372"</f>
        <v>644020240513124145174372</v>
      </c>
      <c r="F7016" s="9"/>
    </row>
    <row r="7017" s="2" customFormat="1" ht="30" customHeight="1" spans="1:6">
      <c r="A7017" s="9">
        <v>7014</v>
      </c>
      <c r="B7017" s="10" t="s">
        <v>6721</v>
      </c>
      <c r="C7017" s="10" t="s">
        <v>6722</v>
      </c>
      <c r="D7017" s="10" t="s">
        <v>6747</v>
      </c>
      <c r="E7017" s="10" t="str">
        <f>"644020240512184324170453"</f>
        <v>644020240512184324170453</v>
      </c>
      <c r="F7017" s="9"/>
    </row>
    <row r="7018" s="2" customFormat="1" ht="30" customHeight="1" spans="1:6">
      <c r="A7018" s="9">
        <v>7015</v>
      </c>
      <c r="B7018" s="10" t="s">
        <v>6721</v>
      </c>
      <c r="C7018" s="10" t="s">
        <v>6722</v>
      </c>
      <c r="D7018" s="10" t="s">
        <v>6748</v>
      </c>
      <c r="E7018" s="10" t="str">
        <f>"644020240513152633175430"</f>
        <v>644020240513152633175430</v>
      </c>
      <c r="F7018" s="9"/>
    </row>
    <row r="7019" s="2" customFormat="1" ht="30" customHeight="1" spans="1:6">
      <c r="A7019" s="9">
        <v>7016</v>
      </c>
      <c r="B7019" s="10" t="s">
        <v>6721</v>
      </c>
      <c r="C7019" s="10" t="s">
        <v>6722</v>
      </c>
      <c r="D7019" s="10" t="s">
        <v>6749</v>
      </c>
      <c r="E7019" s="10" t="str">
        <f>"644020240512095453168348"</f>
        <v>644020240512095453168348</v>
      </c>
      <c r="F7019" s="9"/>
    </row>
    <row r="7020" s="2" customFormat="1" ht="30" customHeight="1" spans="1:6">
      <c r="A7020" s="9">
        <v>7017</v>
      </c>
      <c r="B7020" s="10" t="s">
        <v>6721</v>
      </c>
      <c r="C7020" s="10" t="s">
        <v>6722</v>
      </c>
      <c r="D7020" s="10" t="s">
        <v>6750</v>
      </c>
      <c r="E7020" s="10" t="str">
        <f>"644020240513090341172530"</f>
        <v>644020240513090341172530</v>
      </c>
      <c r="F7020" s="9"/>
    </row>
    <row r="7021" s="2" customFormat="1" ht="30" customHeight="1" spans="1:6">
      <c r="A7021" s="9">
        <v>7018</v>
      </c>
      <c r="B7021" s="10" t="s">
        <v>6721</v>
      </c>
      <c r="C7021" s="10" t="s">
        <v>6722</v>
      </c>
      <c r="D7021" s="10" t="s">
        <v>6751</v>
      </c>
      <c r="E7021" s="10" t="str">
        <f>"644020240513155323175719"</f>
        <v>644020240513155323175719</v>
      </c>
      <c r="F7021" s="9"/>
    </row>
    <row r="7022" s="2" customFormat="1" ht="30" customHeight="1" spans="1:6">
      <c r="A7022" s="9">
        <v>7019</v>
      </c>
      <c r="B7022" s="10" t="s">
        <v>6721</v>
      </c>
      <c r="C7022" s="10" t="s">
        <v>6722</v>
      </c>
      <c r="D7022" s="10" t="s">
        <v>6752</v>
      </c>
      <c r="E7022" s="10" t="str">
        <f>"644020240513151826175357"</f>
        <v>644020240513151826175357</v>
      </c>
      <c r="F7022" s="9"/>
    </row>
    <row r="7023" s="2" customFormat="1" ht="30" customHeight="1" spans="1:6">
      <c r="A7023" s="9">
        <v>7020</v>
      </c>
      <c r="B7023" s="10" t="s">
        <v>6721</v>
      </c>
      <c r="C7023" s="10" t="s">
        <v>6722</v>
      </c>
      <c r="D7023" s="10" t="s">
        <v>6753</v>
      </c>
      <c r="E7023" s="10" t="str">
        <f>"644020240512225931171669"</f>
        <v>644020240512225931171669</v>
      </c>
      <c r="F7023" s="9"/>
    </row>
    <row r="7024" s="2" customFormat="1" ht="30" customHeight="1" spans="1:6">
      <c r="A7024" s="9">
        <v>7021</v>
      </c>
      <c r="B7024" s="10" t="s">
        <v>6721</v>
      </c>
      <c r="C7024" s="10" t="s">
        <v>6722</v>
      </c>
      <c r="D7024" s="10" t="s">
        <v>6754</v>
      </c>
      <c r="E7024" s="10" t="str">
        <f>"644020240512153034169764"</f>
        <v>644020240512153034169764</v>
      </c>
      <c r="F7024" s="9"/>
    </row>
    <row r="7025" s="2" customFormat="1" ht="30" customHeight="1" spans="1:6">
      <c r="A7025" s="9">
        <v>7022</v>
      </c>
      <c r="B7025" s="10" t="s">
        <v>6721</v>
      </c>
      <c r="C7025" s="10" t="s">
        <v>6722</v>
      </c>
      <c r="D7025" s="10" t="s">
        <v>6755</v>
      </c>
      <c r="E7025" s="10" t="str">
        <f>"644020240513171928176182"</f>
        <v>644020240513171928176182</v>
      </c>
      <c r="F7025" s="9"/>
    </row>
    <row r="7026" s="2" customFormat="1" ht="30" customHeight="1" spans="1:6">
      <c r="A7026" s="9">
        <v>7023</v>
      </c>
      <c r="B7026" s="10" t="s">
        <v>6721</v>
      </c>
      <c r="C7026" s="10" t="s">
        <v>6722</v>
      </c>
      <c r="D7026" s="10" t="s">
        <v>6756</v>
      </c>
      <c r="E7026" s="10" t="str">
        <f>"644020240513172427176208"</f>
        <v>644020240513172427176208</v>
      </c>
      <c r="F7026" s="9"/>
    </row>
    <row r="7027" s="2" customFormat="1" ht="30" customHeight="1" spans="1:6">
      <c r="A7027" s="9">
        <v>7024</v>
      </c>
      <c r="B7027" s="10" t="s">
        <v>6721</v>
      </c>
      <c r="C7027" s="10" t="s">
        <v>6722</v>
      </c>
      <c r="D7027" s="10" t="s">
        <v>6757</v>
      </c>
      <c r="E7027" s="10" t="str">
        <f>"644020240513162818175935"</f>
        <v>644020240513162818175935</v>
      </c>
      <c r="F7027" s="9"/>
    </row>
    <row r="7028" s="2" customFormat="1" ht="30" customHeight="1" spans="1:6">
      <c r="A7028" s="9">
        <v>7025</v>
      </c>
      <c r="B7028" s="10" t="s">
        <v>6721</v>
      </c>
      <c r="C7028" s="10" t="s">
        <v>6722</v>
      </c>
      <c r="D7028" s="10" t="s">
        <v>6758</v>
      </c>
      <c r="E7028" s="10" t="str">
        <f>"644020240513170149176099"</f>
        <v>644020240513170149176099</v>
      </c>
      <c r="F7028" s="9"/>
    </row>
    <row r="7029" s="2" customFormat="1" ht="30" customHeight="1" spans="1:6">
      <c r="A7029" s="9">
        <v>7026</v>
      </c>
      <c r="B7029" s="10" t="s">
        <v>6721</v>
      </c>
      <c r="C7029" s="10" t="s">
        <v>6722</v>
      </c>
      <c r="D7029" s="10" t="s">
        <v>2684</v>
      </c>
      <c r="E7029" s="10" t="str">
        <f>"644020240513182930176426"</f>
        <v>644020240513182930176426</v>
      </c>
      <c r="F7029" s="9"/>
    </row>
    <row r="7030" s="2" customFormat="1" ht="30" customHeight="1" spans="1:6">
      <c r="A7030" s="9">
        <v>7027</v>
      </c>
      <c r="B7030" s="10" t="s">
        <v>6721</v>
      </c>
      <c r="C7030" s="10" t="s">
        <v>6722</v>
      </c>
      <c r="D7030" s="10" t="s">
        <v>6759</v>
      </c>
      <c r="E7030" s="10" t="str">
        <f>"644020240512192012170565"</f>
        <v>644020240512192012170565</v>
      </c>
      <c r="F7030" s="9"/>
    </row>
    <row r="7031" s="2" customFormat="1" ht="30" customHeight="1" spans="1:6">
      <c r="A7031" s="9">
        <v>7028</v>
      </c>
      <c r="B7031" s="10" t="s">
        <v>6721</v>
      </c>
      <c r="C7031" s="10" t="s">
        <v>6722</v>
      </c>
      <c r="D7031" s="10" t="s">
        <v>6760</v>
      </c>
      <c r="E7031" s="10" t="str">
        <f>"644020240513185156176485"</f>
        <v>644020240513185156176485</v>
      </c>
      <c r="F7031" s="9"/>
    </row>
    <row r="7032" s="2" customFormat="1" ht="30" customHeight="1" spans="1:6">
      <c r="A7032" s="9">
        <v>7029</v>
      </c>
      <c r="B7032" s="10" t="s">
        <v>6721</v>
      </c>
      <c r="C7032" s="10" t="s">
        <v>6722</v>
      </c>
      <c r="D7032" s="10" t="s">
        <v>6761</v>
      </c>
      <c r="E7032" s="10" t="str">
        <f>"644020240513201719176784"</f>
        <v>644020240513201719176784</v>
      </c>
      <c r="F7032" s="9"/>
    </row>
    <row r="7033" s="2" customFormat="1" ht="30" customHeight="1" spans="1:6">
      <c r="A7033" s="9">
        <v>7030</v>
      </c>
      <c r="B7033" s="10" t="s">
        <v>6721</v>
      </c>
      <c r="C7033" s="10" t="s">
        <v>6722</v>
      </c>
      <c r="D7033" s="10" t="s">
        <v>6762</v>
      </c>
      <c r="E7033" s="10" t="str">
        <f>"644020240512222947171495"</f>
        <v>644020240512222947171495</v>
      </c>
      <c r="F7033" s="9"/>
    </row>
    <row r="7034" s="2" customFormat="1" ht="30" customHeight="1" spans="1:6">
      <c r="A7034" s="9">
        <v>7031</v>
      </c>
      <c r="B7034" s="10" t="s">
        <v>6721</v>
      </c>
      <c r="C7034" s="10" t="s">
        <v>6722</v>
      </c>
      <c r="D7034" s="10" t="s">
        <v>6763</v>
      </c>
      <c r="E7034" s="10" t="str">
        <f>"644020240513224241177415"</f>
        <v>644020240513224241177415</v>
      </c>
      <c r="F7034" s="9"/>
    </row>
    <row r="7035" s="2" customFormat="1" ht="30" customHeight="1" spans="1:6">
      <c r="A7035" s="9">
        <v>7032</v>
      </c>
      <c r="B7035" s="10" t="s">
        <v>6721</v>
      </c>
      <c r="C7035" s="10" t="s">
        <v>6722</v>
      </c>
      <c r="D7035" s="10" t="s">
        <v>3880</v>
      </c>
      <c r="E7035" s="10" t="str">
        <f>"644020240513205517176941"</f>
        <v>644020240513205517176941</v>
      </c>
      <c r="F7035" s="9"/>
    </row>
    <row r="7036" s="2" customFormat="1" ht="30" customHeight="1" spans="1:6">
      <c r="A7036" s="9">
        <v>7033</v>
      </c>
      <c r="B7036" s="10" t="s">
        <v>6721</v>
      </c>
      <c r="C7036" s="10" t="s">
        <v>6722</v>
      </c>
      <c r="D7036" s="10" t="s">
        <v>6764</v>
      </c>
      <c r="E7036" s="10" t="str">
        <f>"644020240514090311177975"</f>
        <v>644020240514090311177975</v>
      </c>
      <c r="F7036" s="9"/>
    </row>
    <row r="7037" s="2" customFormat="1" ht="30" customHeight="1" spans="1:6">
      <c r="A7037" s="9">
        <v>7034</v>
      </c>
      <c r="B7037" s="10" t="s">
        <v>6721</v>
      </c>
      <c r="C7037" s="10" t="s">
        <v>6722</v>
      </c>
      <c r="D7037" s="10" t="s">
        <v>6765</v>
      </c>
      <c r="E7037" s="10" t="str">
        <f>"644020240512092239168206"</f>
        <v>644020240512092239168206</v>
      </c>
      <c r="F7037" s="9"/>
    </row>
    <row r="7038" s="2" customFormat="1" ht="30" customHeight="1" spans="1:6">
      <c r="A7038" s="9">
        <v>7035</v>
      </c>
      <c r="B7038" s="10" t="s">
        <v>6721</v>
      </c>
      <c r="C7038" s="10" t="s">
        <v>6722</v>
      </c>
      <c r="D7038" s="10" t="s">
        <v>6766</v>
      </c>
      <c r="E7038" s="10" t="str">
        <f>"644020240514083510177867"</f>
        <v>644020240514083510177867</v>
      </c>
      <c r="F7038" s="9"/>
    </row>
    <row r="7039" s="2" customFormat="1" ht="30" customHeight="1" spans="1:6">
      <c r="A7039" s="9">
        <v>7036</v>
      </c>
      <c r="B7039" s="10" t="s">
        <v>6721</v>
      </c>
      <c r="C7039" s="10" t="s">
        <v>6722</v>
      </c>
      <c r="D7039" s="10" t="s">
        <v>6767</v>
      </c>
      <c r="E7039" s="10" t="str">
        <f>"644020240514094337178187"</f>
        <v>644020240514094337178187</v>
      </c>
      <c r="F7039" s="9"/>
    </row>
    <row r="7040" s="2" customFormat="1" ht="30" customHeight="1" spans="1:6">
      <c r="A7040" s="9">
        <v>7037</v>
      </c>
      <c r="B7040" s="10" t="s">
        <v>6721</v>
      </c>
      <c r="C7040" s="10" t="s">
        <v>6722</v>
      </c>
      <c r="D7040" s="10" t="s">
        <v>6768</v>
      </c>
      <c r="E7040" s="10" t="str">
        <f>"644020240514094717178204"</f>
        <v>644020240514094717178204</v>
      </c>
      <c r="F7040" s="9"/>
    </row>
    <row r="7041" s="2" customFormat="1" ht="30" customHeight="1" spans="1:6">
      <c r="A7041" s="9">
        <v>7038</v>
      </c>
      <c r="B7041" s="10" t="s">
        <v>6721</v>
      </c>
      <c r="C7041" s="10" t="s">
        <v>6722</v>
      </c>
      <c r="D7041" s="10" t="s">
        <v>6769</v>
      </c>
      <c r="E7041" s="10" t="str">
        <f>"644020240513194004176654"</f>
        <v>644020240513194004176654</v>
      </c>
      <c r="F7041" s="9"/>
    </row>
    <row r="7042" s="2" customFormat="1" ht="30" customHeight="1" spans="1:6">
      <c r="A7042" s="9">
        <v>7039</v>
      </c>
      <c r="B7042" s="10" t="s">
        <v>6721</v>
      </c>
      <c r="C7042" s="10" t="s">
        <v>6722</v>
      </c>
      <c r="D7042" s="10" t="s">
        <v>6770</v>
      </c>
      <c r="E7042" s="10" t="str">
        <f>"644020240514121654178868"</f>
        <v>644020240514121654178868</v>
      </c>
      <c r="F7042" s="9"/>
    </row>
    <row r="7043" s="2" customFormat="1" ht="30" customHeight="1" spans="1:6">
      <c r="A7043" s="9">
        <v>7040</v>
      </c>
      <c r="B7043" s="10" t="s">
        <v>6721</v>
      </c>
      <c r="C7043" s="10" t="s">
        <v>6722</v>
      </c>
      <c r="D7043" s="10" t="s">
        <v>6771</v>
      </c>
      <c r="E7043" s="10" t="str">
        <f>"644020240514141755179110"</f>
        <v>644020240514141755179110</v>
      </c>
      <c r="F7043" s="9"/>
    </row>
    <row r="7044" s="2" customFormat="1" ht="30" customHeight="1" spans="1:6">
      <c r="A7044" s="9">
        <v>7041</v>
      </c>
      <c r="B7044" s="10" t="s">
        <v>6721</v>
      </c>
      <c r="C7044" s="10" t="s">
        <v>6722</v>
      </c>
      <c r="D7044" s="10" t="s">
        <v>6772</v>
      </c>
      <c r="E7044" s="10" t="str">
        <f>"644020240514095638178250"</f>
        <v>644020240514095638178250</v>
      </c>
      <c r="F7044" s="9"/>
    </row>
    <row r="7045" s="2" customFormat="1" ht="30" customHeight="1" spans="1:6">
      <c r="A7045" s="9">
        <v>7042</v>
      </c>
      <c r="B7045" s="10" t="s">
        <v>6721</v>
      </c>
      <c r="C7045" s="10" t="s">
        <v>6722</v>
      </c>
      <c r="D7045" s="10" t="s">
        <v>6773</v>
      </c>
      <c r="E7045" s="10" t="str">
        <f>"644020240514151857179259"</f>
        <v>644020240514151857179259</v>
      </c>
      <c r="F7045" s="9"/>
    </row>
    <row r="7046" s="2" customFormat="1" ht="30" customHeight="1" spans="1:6">
      <c r="A7046" s="9">
        <v>7043</v>
      </c>
      <c r="B7046" s="10" t="s">
        <v>6721</v>
      </c>
      <c r="C7046" s="10" t="s">
        <v>6722</v>
      </c>
      <c r="D7046" s="10" t="s">
        <v>6774</v>
      </c>
      <c r="E7046" s="10" t="str">
        <f>"644020240514162308179476"</f>
        <v>644020240514162308179476</v>
      </c>
      <c r="F7046" s="9"/>
    </row>
    <row r="7047" s="2" customFormat="1" ht="30" customHeight="1" spans="1:6">
      <c r="A7047" s="9">
        <v>7044</v>
      </c>
      <c r="B7047" s="10" t="s">
        <v>6721</v>
      </c>
      <c r="C7047" s="10" t="s">
        <v>6722</v>
      </c>
      <c r="D7047" s="10" t="s">
        <v>136</v>
      </c>
      <c r="E7047" s="10" t="str">
        <f>"644020240514163644179517"</f>
        <v>644020240514163644179517</v>
      </c>
      <c r="F7047" s="9"/>
    </row>
    <row r="7048" s="2" customFormat="1" ht="30" customHeight="1" spans="1:6">
      <c r="A7048" s="9">
        <v>7045</v>
      </c>
      <c r="B7048" s="10" t="s">
        <v>6721</v>
      </c>
      <c r="C7048" s="10" t="s">
        <v>6722</v>
      </c>
      <c r="D7048" s="10" t="s">
        <v>6775</v>
      </c>
      <c r="E7048" s="10" t="str">
        <f>"644020240514164212179543"</f>
        <v>644020240514164212179543</v>
      </c>
      <c r="F7048" s="9"/>
    </row>
    <row r="7049" s="2" customFormat="1" ht="30" customHeight="1" spans="1:6">
      <c r="A7049" s="9">
        <v>7046</v>
      </c>
      <c r="B7049" s="10" t="s">
        <v>6721</v>
      </c>
      <c r="C7049" s="10" t="s">
        <v>6722</v>
      </c>
      <c r="D7049" s="10" t="s">
        <v>4576</v>
      </c>
      <c r="E7049" s="10" t="str">
        <f>"644020240514162026179467"</f>
        <v>644020240514162026179467</v>
      </c>
      <c r="F7049" s="9"/>
    </row>
    <row r="7050" s="2" customFormat="1" ht="30" customHeight="1" spans="1:6">
      <c r="A7050" s="9">
        <v>7047</v>
      </c>
      <c r="B7050" s="10" t="s">
        <v>6721</v>
      </c>
      <c r="C7050" s="10" t="s">
        <v>6722</v>
      </c>
      <c r="D7050" s="10" t="s">
        <v>6776</v>
      </c>
      <c r="E7050" s="10" t="str">
        <f>"644020240514170607179630"</f>
        <v>644020240514170607179630</v>
      </c>
      <c r="F7050" s="9"/>
    </row>
    <row r="7051" s="2" customFormat="1" ht="30" customHeight="1" spans="1:6">
      <c r="A7051" s="9">
        <v>7048</v>
      </c>
      <c r="B7051" s="10" t="s">
        <v>6721</v>
      </c>
      <c r="C7051" s="10" t="s">
        <v>6722</v>
      </c>
      <c r="D7051" s="10" t="s">
        <v>6777</v>
      </c>
      <c r="E7051" s="10" t="str">
        <f>"644020240512103920168617"</f>
        <v>644020240512103920168617</v>
      </c>
      <c r="F7051" s="9"/>
    </row>
    <row r="7052" s="2" customFormat="1" ht="30" customHeight="1" spans="1:6">
      <c r="A7052" s="9">
        <v>7049</v>
      </c>
      <c r="B7052" s="10" t="s">
        <v>6721</v>
      </c>
      <c r="C7052" s="10" t="s">
        <v>6722</v>
      </c>
      <c r="D7052" s="10" t="s">
        <v>6778</v>
      </c>
      <c r="E7052" s="10" t="str">
        <f>"644020240514172707179700"</f>
        <v>644020240514172707179700</v>
      </c>
      <c r="F7052" s="9"/>
    </row>
    <row r="7053" s="2" customFormat="1" ht="30" customHeight="1" spans="1:6">
      <c r="A7053" s="9">
        <v>7050</v>
      </c>
      <c r="B7053" s="10" t="s">
        <v>6721</v>
      </c>
      <c r="C7053" s="10" t="s">
        <v>6722</v>
      </c>
      <c r="D7053" s="10" t="s">
        <v>6779</v>
      </c>
      <c r="E7053" s="10" t="str">
        <f>"644020240514212551180191"</f>
        <v>644020240514212551180191</v>
      </c>
      <c r="F7053" s="9"/>
    </row>
    <row r="7054" s="2" customFormat="1" ht="30" customHeight="1" spans="1:6">
      <c r="A7054" s="9">
        <v>7051</v>
      </c>
      <c r="B7054" s="10" t="s">
        <v>6721</v>
      </c>
      <c r="C7054" s="10" t="s">
        <v>6722</v>
      </c>
      <c r="D7054" s="10" t="s">
        <v>6780</v>
      </c>
      <c r="E7054" s="10" t="str">
        <f>"644020240514210813180134"</f>
        <v>644020240514210813180134</v>
      </c>
      <c r="F7054" s="9"/>
    </row>
    <row r="7055" s="2" customFormat="1" ht="30" customHeight="1" spans="1:6">
      <c r="A7055" s="9">
        <v>7052</v>
      </c>
      <c r="B7055" s="10" t="s">
        <v>6721</v>
      </c>
      <c r="C7055" s="10" t="s">
        <v>6722</v>
      </c>
      <c r="D7055" s="10" t="s">
        <v>6781</v>
      </c>
      <c r="E7055" s="10" t="str">
        <f>"644020240512211853171086"</f>
        <v>644020240512211853171086</v>
      </c>
      <c r="F7055" s="9"/>
    </row>
    <row r="7056" s="2" customFormat="1" ht="30" customHeight="1" spans="1:6">
      <c r="A7056" s="9">
        <v>7053</v>
      </c>
      <c r="B7056" s="10" t="s">
        <v>6721</v>
      </c>
      <c r="C7056" s="10" t="s">
        <v>6722</v>
      </c>
      <c r="D7056" s="10" t="s">
        <v>6782</v>
      </c>
      <c r="E7056" s="10" t="str">
        <f>"644020240515082705180690"</f>
        <v>644020240515082705180690</v>
      </c>
      <c r="F7056" s="9"/>
    </row>
    <row r="7057" s="2" customFormat="1" ht="30" customHeight="1" spans="1:6">
      <c r="A7057" s="9">
        <v>7054</v>
      </c>
      <c r="B7057" s="10" t="s">
        <v>6721</v>
      </c>
      <c r="C7057" s="10" t="s">
        <v>6722</v>
      </c>
      <c r="D7057" s="10" t="s">
        <v>6783</v>
      </c>
      <c r="E7057" s="10" t="str">
        <f>"644020240515081351180679"</f>
        <v>644020240515081351180679</v>
      </c>
      <c r="F7057" s="9"/>
    </row>
    <row r="7058" s="2" customFormat="1" ht="30" customHeight="1" spans="1:6">
      <c r="A7058" s="9">
        <v>7055</v>
      </c>
      <c r="B7058" s="10" t="s">
        <v>6721</v>
      </c>
      <c r="C7058" s="10" t="s">
        <v>6722</v>
      </c>
      <c r="D7058" s="10" t="s">
        <v>6784</v>
      </c>
      <c r="E7058" s="10" t="str">
        <f>"644020240514170728179633"</f>
        <v>644020240514170728179633</v>
      </c>
      <c r="F7058" s="9"/>
    </row>
    <row r="7059" s="2" customFormat="1" ht="30" customHeight="1" spans="1:6">
      <c r="A7059" s="9">
        <v>7056</v>
      </c>
      <c r="B7059" s="10" t="s">
        <v>6721</v>
      </c>
      <c r="C7059" s="10" t="s">
        <v>6722</v>
      </c>
      <c r="D7059" s="10" t="s">
        <v>6785</v>
      </c>
      <c r="E7059" s="10" t="str">
        <f>"644020240515093118180863"</f>
        <v>644020240515093118180863</v>
      </c>
      <c r="F7059" s="9"/>
    </row>
    <row r="7060" s="2" customFormat="1" ht="30" customHeight="1" spans="1:6">
      <c r="A7060" s="9">
        <v>7057</v>
      </c>
      <c r="B7060" s="10" t="s">
        <v>6721</v>
      </c>
      <c r="C7060" s="10" t="s">
        <v>6722</v>
      </c>
      <c r="D7060" s="10" t="s">
        <v>6786</v>
      </c>
      <c r="E7060" s="10" t="str">
        <f>"644020240515102159181015"</f>
        <v>644020240515102159181015</v>
      </c>
      <c r="F7060" s="9"/>
    </row>
    <row r="7061" s="2" customFormat="1" ht="30" customHeight="1" spans="1:6">
      <c r="A7061" s="9">
        <v>7058</v>
      </c>
      <c r="B7061" s="10" t="s">
        <v>6721</v>
      </c>
      <c r="C7061" s="10" t="s">
        <v>6722</v>
      </c>
      <c r="D7061" s="10" t="s">
        <v>6787</v>
      </c>
      <c r="E7061" s="10" t="str">
        <f>"644020240515111937181208"</f>
        <v>644020240515111937181208</v>
      </c>
      <c r="F7061" s="9"/>
    </row>
    <row r="7062" s="2" customFormat="1" ht="30" customHeight="1" spans="1:6">
      <c r="A7062" s="9">
        <v>7059</v>
      </c>
      <c r="B7062" s="10" t="s">
        <v>6721</v>
      </c>
      <c r="C7062" s="10" t="s">
        <v>6722</v>
      </c>
      <c r="D7062" s="10" t="s">
        <v>6788</v>
      </c>
      <c r="E7062" s="10" t="str">
        <f>"644020240515001541180585"</f>
        <v>644020240515001541180585</v>
      </c>
      <c r="F7062" s="9"/>
    </row>
    <row r="7063" s="2" customFormat="1" ht="30" customHeight="1" spans="1:6">
      <c r="A7063" s="9">
        <v>7060</v>
      </c>
      <c r="B7063" s="10" t="s">
        <v>6721</v>
      </c>
      <c r="C7063" s="10" t="s">
        <v>6722</v>
      </c>
      <c r="D7063" s="10" t="s">
        <v>6789</v>
      </c>
      <c r="E7063" s="10" t="str">
        <f>"644020240515094049180886"</f>
        <v>644020240515094049180886</v>
      </c>
      <c r="F7063" s="9"/>
    </row>
    <row r="7064" s="2" customFormat="1" ht="30" customHeight="1" spans="1:6">
      <c r="A7064" s="9">
        <v>7061</v>
      </c>
      <c r="B7064" s="10" t="s">
        <v>6721</v>
      </c>
      <c r="C7064" s="10" t="s">
        <v>6722</v>
      </c>
      <c r="D7064" s="10" t="s">
        <v>6790</v>
      </c>
      <c r="E7064" s="10" t="str">
        <f>"644020240513220606177254"</f>
        <v>644020240513220606177254</v>
      </c>
      <c r="F7064" s="9"/>
    </row>
    <row r="7065" s="2" customFormat="1" ht="30" customHeight="1" spans="1:6">
      <c r="A7065" s="9">
        <v>7062</v>
      </c>
      <c r="B7065" s="10" t="s">
        <v>6721</v>
      </c>
      <c r="C7065" s="10" t="s">
        <v>6722</v>
      </c>
      <c r="D7065" s="10" t="s">
        <v>6791</v>
      </c>
      <c r="E7065" s="10" t="str">
        <f>"644020240515110042181150"</f>
        <v>644020240515110042181150</v>
      </c>
      <c r="F7065" s="9"/>
    </row>
    <row r="7066" s="2" customFormat="1" ht="30" customHeight="1" spans="1:6">
      <c r="A7066" s="9">
        <v>7063</v>
      </c>
      <c r="B7066" s="10" t="s">
        <v>6721</v>
      </c>
      <c r="C7066" s="10" t="s">
        <v>6722</v>
      </c>
      <c r="D7066" s="10" t="s">
        <v>6792</v>
      </c>
      <c r="E7066" s="10" t="str">
        <f>"644020240514114211178769"</f>
        <v>644020240514114211178769</v>
      </c>
      <c r="F7066" s="9"/>
    </row>
    <row r="7067" s="2" customFormat="1" ht="30" customHeight="1" spans="1:6">
      <c r="A7067" s="9">
        <v>7064</v>
      </c>
      <c r="B7067" s="10" t="s">
        <v>6721</v>
      </c>
      <c r="C7067" s="10" t="s">
        <v>6722</v>
      </c>
      <c r="D7067" s="10" t="s">
        <v>6793</v>
      </c>
      <c r="E7067" s="10" t="str">
        <f>"644020240513175904176338"</f>
        <v>644020240513175904176338</v>
      </c>
      <c r="F7067" s="9"/>
    </row>
    <row r="7068" s="2" customFormat="1" ht="30" customHeight="1" spans="1:6">
      <c r="A7068" s="9">
        <v>7065</v>
      </c>
      <c r="B7068" s="10" t="s">
        <v>6721</v>
      </c>
      <c r="C7068" s="10" t="s">
        <v>6722</v>
      </c>
      <c r="D7068" s="10" t="s">
        <v>6794</v>
      </c>
      <c r="E7068" s="10" t="str">
        <f>"644020240515143502181569"</f>
        <v>644020240515143502181569</v>
      </c>
      <c r="F7068" s="9"/>
    </row>
    <row r="7069" s="2" customFormat="1" ht="30" customHeight="1" spans="1:6">
      <c r="A7069" s="9">
        <v>7066</v>
      </c>
      <c r="B7069" s="10" t="s">
        <v>6721</v>
      </c>
      <c r="C7069" s="10" t="s">
        <v>6722</v>
      </c>
      <c r="D7069" s="10" t="s">
        <v>2155</v>
      </c>
      <c r="E7069" s="10" t="str">
        <f>"644020240514104051178497"</f>
        <v>644020240514104051178497</v>
      </c>
      <c r="F7069" s="9"/>
    </row>
    <row r="7070" s="2" customFormat="1" ht="30" customHeight="1" spans="1:6">
      <c r="A7070" s="9">
        <v>7067</v>
      </c>
      <c r="B7070" s="10" t="s">
        <v>6721</v>
      </c>
      <c r="C7070" s="10" t="s">
        <v>6722</v>
      </c>
      <c r="D7070" s="10" t="s">
        <v>6795</v>
      </c>
      <c r="E7070" s="10" t="str">
        <f>"644020240513154908175665"</f>
        <v>644020240513154908175665</v>
      </c>
      <c r="F7070" s="9"/>
    </row>
    <row r="7071" s="2" customFormat="1" ht="30" customHeight="1" spans="1:6">
      <c r="A7071" s="9">
        <v>7068</v>
      </c>
      <c r="B7071" s="10" t="s">
        <v>6721</v>
      </c>
      <c r="C7071" s="10" t="s">
        <v>6722</v>
      </c>
      <c r="D7071" s="10" t="s">
        <v>6796</v>
      </c>
      <c r="E7071" s="10" t="str">
        <f>"644020240514104745178541"</f>
        <v>644020240514104745178541</v>
      </c>
      <c r="F7071" s="9"/>
    </row>
    <row r="7072" s="2" customFormat="1" ht="30" customHeight="1" spans="1:6">
      <c r="A7072" s="9">
        <v>7069</v>
      </c>
      <c r="B7072" s="10" t="s">
        <v>6721</v>
      </c>
      <c r="C7072" s="10" t="s">
        <v>6722</v>
      </c>
      <c r="D7072" s="10" t="s">
        <v>6797</v>
      </c>
      <c r="E7072" s="10" t="str">
        <f>"644020240515142541181553"</f>
        <v>644020240515142541181553</v>
      </c>
      <c r="F7072" s="9"/>
    </row>
    <row r="7073" s="2" customFormat="1" ht="30" customHeight="1" spans="1:6">
      <c r="A7073" s="9">
        <v>7070</v>
      </c>
      <c r="B7073" s="10" t="s">
        <v>6721</v>
      </c>
      <c r="C7073" s="10" t="s">
        <v>6722</v>
      </c>
      <c r="D7073" s="10" t="s">
        <v>6798</v>
      </c>
      <c r="E7073" s="10" t="str">
        <f>"644020240515182930182092"</f>
        <v>644020240515182930182092</v>
      </c>
      <c r="F7073" s="9"/>
    </row>
    <row r="7074" s="2" customFormat="1" ht="30" customHeight="1" spans="1:6">
      <c r="A7074" s="9">
        <v>7071</v>
      </c>
      <c r="B7074" s="10" t="s">
        <v>6721</v>
      </c>
      <c r="C7074" s="10" t="s">
        <v>6722</v>
      </c>
      <c r="D7074" s="10" t="s">
        <v>1911</v>
      </c>
      <c r="E7074" s="10" t="str">
        <f>"644020240514085411177926"</f>
        <v>644020240514085411177926</v>
      </c>
      <c r="F7074" s="9"/>
    </row>
    <row r="7075" s="2" customFormat="1" ht="30" customHeight="1" spans="1:6">
      <c r="A7075" s="9">
        <v>7072</v>
      </c>
      <c r="B7075" s="10" t="s">
        <v>6721</v>
      </c>
      <c r="C7075" s="10" t="s">
        <v>6722</v>
      </c>
      <c r="D7075" s="10" t="s">
        <v>6799</v>
      </c>
      <c r="E7075" s="10" t="str">
        <f>"644020240515195941182213"</f>
        <v>644020240515195941182213</v>
      </c>
      <c r="F7075" s="9"/>
    </row>
    <row r="7076" s="2" customFormat="1" ht="30" customHeight="1" spans="1:6">
      <c r="A7076" s="9">
        <v>7073</v>
      </c>
      <c r="B7076" s="10" t="s">
        <v>6721</v>
      </c>
      <c r="C7076" s="10" t="s">
        <v>6722</v>
      </c>
      <c r="D7076" s="10" t="s">
        <v>6800</v>
      </c>
      <c r="E7076" s="10" t="str">
        <f>"644020240514153705179330"</f>
        <v>644020240514153705179330</v>
      </c>
      <c r="F7076" s="9"/>
    </row>
    <row r="7077" s="2" customFormat="1" ht="30" customHeight="1" spans="1:6">
      <c r="A7077" s="9">
        <v>7074</v>
      </c>
      <c r="B7077" s="10" t="s">
        <v>6721</v>
      </c>
      <c r="C7077" s="10" t="s">
        <v>6722</v>
      </c>
      <c r="D7077" s="10" t="s">
        <v>6801</v>
      </c>
      <c r="E7077" s="10" t="str">
        <f>"644020240513111719173855"</f>
        <v>644020240513111719173855</v>
      </c>
      <c r="F7077" s="9"/>
    </row>
    <row r="7078" s="2" customFormat="1" ht="30" customHeight="1" spans="1:6">
      <c r="A7078" s="9">
        <v>7075</v>
      </c>
      <c r="B7078" s="10" t="s">
        <v>6721</v>
      </c>
      <c r="C7078" s="10" t="s">
        <v>6722</v>
      </c>
      <c r="D7078" s="10" t="s">
        <v>6802</v>
      </c>
      <c r="E7078" s="10" t="str">
        <f>"644020240515223335182432"</f>
        <v>644020240515223335182432</v>
      </c>
      <c r="F7078" s="9"/>
    </row>
    <row r="7079" s="2" customFormat="1" ht="30" customHeight="1" spans="1:6">
      <c r="A7079" s="9">
        <v>7076</v>
      </c>
      <c r="B7079" s="10" t="s">
        <v>6721</v>
      </c>
      <c r="C7079" s="10" t="s">
        <v>6722</v>
      </c>
      <c r="D7079" s="10" t="s">
        <v>6803</v>
      </c>
      <c r="E7079" s="10" t="str">
        <f>"644020240514225331180440"</f>
        <v>644020240514225331180440</v>
      </c>
      <c r="F7079" s="9"/>
    </row>
    <row r="7080" s="2" customFormat="1" ht="30" customHeight="1" spans="1:6">
      <c r="A7080" s="9">
        <v>7077</v>
      </c>
      <c r="B7080" s="10" t="s">
        <v>6721</v>
      </c>
      <c r="C7080" s="10" t="s">
        <v>6722</v>
      </c>
      <c r="D7080" s="10" t="s">
        <v>6804</v>
      </c>
      <c r="E7080" s="10" t="str">
        <f>"644020240515220317182339"</f>
        <v>644020240515220317182339</v>
      </c>
      <c r="F7080" s="9"/>
    </row>
    <row r="7081" s="2" customFormat="1" ht="30" customHeight="1" spans="1:6">
      <c r="A7081" s="9">
        <v>7078</v>
      </c>
      <c r="B7081" s="10" t="s">
        <v>6721</v>
      </c>
      <c r="C7081" s="10" t="s">
        <v>6722</v>
      </c>
      <c r="D7081" s="10" t="s">
        <v>6805</v>
      </c>
      <c r="E7081" s="10" t="str">
        <f>"644020240515222201182400"</f>
        <v>644020240515222201182400</v>
      </c>
      <c r="F7081" s="9"/>
    </row>
    <row r="7082" s="2" customFormat="1" ht="30" customHeight="1" spans="1:6">
      <c r="A7082" s="9">
        <v>7079</v>
      </c>
      <c r="B7082" s="10" t="s">
        <v>6721</v>
      </c>
      <c r="C7082" s="10" t="s">
        <v>6722</v>
      </c>
      <c r="D7082" s="10" t="s">
        <v>6806</v>
      </c>
      <c r="E7082" s="10" t="str">
        <f>"644020240516074707182725"</f>
        <v>644020240516074707182725</v>
      </c>
      <c r="F7082" s="9"/>
    </row>
    <row r="7083" s="2" customFormat="1" ht="30" customHeight="1" spans="1:6">
      <c r="A7083" s="9">
        <v>7080</v>
      </c>
      <c r="B7083" s="10" t="s">
        <v>6721</v>
      </c>
      <c r="C7083" s="10" t="s">
        <v>6722</v>
      </c>
      <c r="D7083" s="10" t="s">
        <v>2336</v>
      </c>
      <c r="E7083" s="10" t="str">
        <f>"644020240515161909181826"</f>
        <v>644020240515161909181826</v>
      </c>
      <c r="F7083" s="9"/>
    </row>
    <row r="7084" s="2" customFormat="1" ht="30" customHeight="1" spans="1:6">
      <c r="A7084" s="9">
        <v>7081</v>
      </c>
      <c r="B7084" s="10" t="s">
        <v>6721</v>
      </c>
      <c r="C7084" s="10" t="s">
        <v>6722</v>
      </c>
      <c r="D7084" s="10" t="s">
        <v>6807</v>
      </c>
      <c r="E7084" s="10" t="str">
        <f>"644020240516100045182954"</f>
        <v>644020240516100045182954</v>
      </c>
      <c r="F7084" s="9"/>
    </row>
    <row r="7085" s="2" customFormat="1" ht="30" customHeight="1" spans="1:6">
      <c r="A7085" s="9">
        <v>7082</v>
      </c>
      <c r="B7085" s="10" t="s">
        <v>6721</v>
      </c>
      <c r="C7085" s="10" t="s">
        <v>6722</v>
      </c>
      <c r="D7085" s="10" t="s">
        <v>6808</v>
      </c>
      <c r="E7085" s="10" t="str">
        <f>"644020240514234341180546"</f>
        <v>644020240514234341180546</v>
      </c>
      <c r="F7085" s="9"/>
    </row>
    <row r="7086" s="2" customFormat="1" ht="30" customHeight="1" spans="1:6">
      <c r="A7086" s="9">
        <v>7083</v>
      </c>
      <c r="B7086" s="10" t="s">
        <v>6721</v>
      </c>
      <c r="C7086" s="10" t="s">
        <v>6722</v>
      </c>
      <c r="D7086" s="10" t="s">
        <v>6809</v>
      </c>
      <c r="E7086" s="10" t="str">
        <f>"644020240516093053182879"</f>
        <v>644020240516093053182879</v>
      </c>
      <c r="F7086" s="9"/>
    </row>
    <row r="7087" s="2" customFormat="1" ht="30" customHeight="1" spans="1:6">
      <c r="A7087" s="9">
        <v>7084</v>
      </c>
      <c r="B7087" s="10" t="s">
        <v>6721</v>
      </c>
      <c r="C7087" s="10" t="s">
        <v>6722</v>
      </c>
      <c r="D7087" s="10" t="s">
        <v>6810</v>
      </c>
      <c r="E7087" s="10" t="str">
        <f>"644020240514113107178727"</f>
        <v>644020240514113107178727</v>
      </c>
      <c r="F7087" s="9"/>
    </row>
    <row r="7088" s="2" customFormat="1" ht="30" customHeight="1" spans="1:6">
      <c r="A7088" s="9">
        <v>7085</v>
      </c>
      <c r="B7088" s="10" t="s">
        <v>6721</v>
      </c>
      <c r="C7088" s="10" t="s">
        <v>6722</v>
      </c>
      <c r="D7088" s="10" t="s">
        <v>6811</v>
      </c>
      <c r="E7088" s="10" t="str">
        <f>"644020240515223436182437"</f>
        <v>644020240515223436182437</v>
      </c>
      <c r="F7088" s="9"/>
    </row>
    <row r="7089" s="2" customFormat="1" ht="30" customHeight="1" spans="1:6">
      <c r="A7089" s="9">
        <v>7086</v>
      </c>
      <c r="B7089" s="10" t="s">
        <v>6721</v>
      </c>
      <c r="C7089" s="10" t="s">
        <v>6722</v>
      </c>
      <c r="D7089" s="10" t="s">
        <v>6812</v>
      </c>
      <c r="E7089" s="10" t="str">
        <f>"644020240516101237182980"</f>
        <v>644020240516101237182980</v>
      </c>
      <c r="F7089" s="9"/>
    </row>
    <row r="7090" s="2" customFormat="1" ht="30" customHeight="1" spans="1:6">
      <c r="A7090" s="9">
        <v>7087</v>
      </c>
      <c r="B7090" s="10" t="s">
        <v>6721</v>
      </c>
      <c r="C7090" s="10" t="s">
        <v>6722</v>
      </c>
      <c r="D7090" s="10" t="s">
        <v>6813</v>
      </c>
      <c r="E7090" s="10" t="str">
        <f>"644020240513092940172802"</f>
        <v>644020240513092940172802</v>
      </c>
      <c r="F7090" s="9"/>
    </row>
    <row r="7091" s="2" customFormat="1" ht="30" customHeight="1" spans="1:6">
      <c r="A7091" s="9">
        <v>7088</v>
      </c>
      <c r="B7091" s="10" t="s">
        <v>6721</v>
      </c>
      <c r="C7091" s="10" t="s">
        <v>6722</v>
      </c>
      <c r="D7091" s="10" t="s">
        <v>6814</v>
      </c>
      <c r="E7091" s="10" t="str">
        <f>"644020240516105242183083"</f>
        <v>644020240516105242183083</v>
      </c>
      <c r="F7091" s="9"/>
    </row>
    <row r="7092" s="2" customFormat="1" ht="30" customHeight="1" spans="1:6">
      <c r="A7092" s="9">
        <v>7089</v>
      </c>
      <c r="B7092" s="10" t="s">
        <v>6721</v>
      </c>
      <c r="C7092" s="10" t="s">
        <v>6722</v>
      </c>
      <c r="D7092" s="10" t="s">
        <v>4517</v>
      </c>
      <c r="E7092" s="10" t="str">
        <f>"644020240516172520183823"</f>
        <v>644020240516172520183823</v>
      </c>
      <c r="F7092" s="9"/>
    </row>
    <row r="7093" s="2" customFormat="1" ht="30" customHeight="1" spans="1:6">
      <c r="A7093" s="9">
        <v>7090</v>
      </c>
      <c r="B7093" s="10" t="s">
        <v>6721</v>
      </c>
      <c r="C7093" s="10" t="s">
        <v>6722</v>
      </c>
      <c r="D7093" s="10" t="s">
        <v>6815</v>
      </c>
      <c r="E7093" s="10" t="str">
        <f>"644020240516175611183874"</f>
        <v>644020240516175611183874</v>
      </c>
      <c r="F7093" s="9"/>
    </row>
    <row r="7094" s="2" customFormat="1" ht="30" customHeight="1" spans="1:6">
      <c r="A7094" s="9">
        <v>7091</v>
      </c>
      <c r="B7094" s="10" t="s">
        <v>6721</v>
      </c>
      <c r="C7094" s="10" t="s">
        <v>6722</v>
      </c>
      <c r="D7094" s="10" t="s">
        <v>6816</v>
      </c>
      <c r="E7094" s="10" t="str">
        <f>"644020240515224528182466"</f>
        <v>644020240515224528182466</v>
      </c>
      <c r="F7094" s="9"/>
    </row>
    <row r="7095" s="2" customFormat="1" ht="30" customHeight="1" spans="1:6">
      <c r="A7095" s="9">
        <v>7092</v>
      </c>
      <c r="B7095" s="10" t="s">
        <v>6721</v>
      </c>
      <c r="C7095" s="10" t="s">
        <v>6722</v>
      </c>
      <c r="D7095" s="10" t="s">
        <v>6817</v>
      </c>
      <c r="E7095" s="10" t="str">
        <f>"644020240514162040179469"</f>
        <v>644020240514162040179469</v>
      </c>
      <c r="F7095" s="9"/>
    </row>
    <row r="7096" s="2" customFormat="1" ht="30" customHeight="1" spans="1:6">
      <c r="A7096" s="9">
        <v>7093</v>
      </c>
      <c r="B7096" s="10" t="s">
        <v>6721</v>
      </c>
      <c r="C7096" s="10" t="s">
        <v>6722</v>
      </c>
      <c r="D7096" s="10" t="s">
        <v>6818</v>
      </c>
      <c r="E7096" s="10" t="str">
        <f>"644020240513203814176872"</f>
        <v>644020240513203814176872</v>
      </c>
      <c r="F7096" s="9"/>
    </row>
    <row r="7097" s="2" customFormat="1" ht="30" customHeight="1" spans="1:6">
      <c r="A7097" s="9">
        <v>7094</v>
      </c>
      <c r="B7097" s="10" t="s">
        <v>6721</v>
      </c>
      <c r="C7097" s="10" t="s">
        <v>6722</v>
      </c>
      <c r="D7097" s="10" t="s">
        <v>6819</v>
      </c>
      <c r="E7097" s="10" t="str">
        <f>"644020240516225314184343"</f>
        <v>644020240516225314184343</v>
      </c>
      <c r="F7097" s="9"/>
    </row>
    <row r="7098" s="2" customFormat="1" ht="30" customHeight="1" spans="1:6">
      <c r="A7098" s="9">
        <v>7095</v>
      </c>
      <c r="B7098" s="10" t="s">
        <v>6721</v>
      </c>
      <c r="C7098" s="10" t="s">
        <v>6722</v>
      </c>
      <c r="D7098" s="10" t="s">
        <v>6820</v>
      </c>
      <c r="E7098" s="10" t="str">
        <f>"644020240516222754184290"</f>
        <v>644020240516222754184290</v>
      </c>
      <c r="F7098" s="9"/>
    </row>
    <row r="7099" s="2" customFormat="1" ht="30" customHeight="1" spans="1:6">
      <c r="A7099" s="9">
        <v>7096</v>
      </c>
      <c r="B7099" s="10" t="s">
        <v>6721</v>
      </c>
      <c r="C7099" s="10" t="s">
        <v>6722</v>
      </c>
      <c r="D7099" s="10" t="s">
        <v>6821</v>
      </c>
      <c r="E7099" s="10" t="str">
        <f>"644020240516234657184437"</f>
        <v>644020240516234657184437</v>
      </c>
      <c r="F7099" s="9"/>
    </row>
    <row r="7100" s="2" customFormat="1" ht="30" customHeight="1" spans="1:6">
      <c r="A7100" s="9">
        <v>7097</v>
      </c>
      <c r="B7100" s="10" t="s">
        <v>6721</v>
      </c>
      <c r="C7100" s="10" t="s">
        <v>6722</v>
      </c>
      <c r="D7100" s="10" t="s">
        <v>6822</v>
      </c>
      <c r="E7100" s="10" t="str">
        <f>"644020240516233840184422"</f>
        <v>644020240516233840184422</v>
      </c>
      <c r="F7100" s="9"/>
    </row>
    <row r="7101" s="2" customFormat="1" ht="30" customHeight="1" spans="1:6">
      <c r="A7101" s="9">
        <v>7098</v>
      </c>
      <c r="B7101" s="10" t="s">
        <v>6721</v>
      </c>
      <c r="C7101" s="10" t="s">
        <v>6722</v>
      </c>
      <c r="D7101" s="10" t="s">
        <v>6823</v>
      </c>
      <c r="E7101" s="10" t="str">
        <f>"644020240512210418171011"</f>
        <v>644020240512210418171011</v>
      </c>
      <c r="F7101" s="9"/>
    </row>
    <row r="7102" s="2" customFormat="1" ht="30" customHeight="1" spans="1:6">
      <c r="A7102" s="9">
        <v>7099</v>
      </c>
      <c r="B7102" s="10" t="s">
        <v>6721</v>
      </c>
      <c r="C7102" s="10" t="s">
        <v>6722</v>
      </c>
      <c r="D7102" s="10" t="s">
        <v>6824</v>
      </c>
      <c r="E7102" s="10" t="str">
        <f>"644020240516230245184360"</f>
        <v>644020240516230245184360</v>
      </c>
      <c r="F7102" s="9"/>
    </row>
    <row r="7103" s="2" customFormat="1" ht="30" customHeight="1" spans="1:6">
      <c r="A7103" s="9">
        <v>7100</v>
      </c>
      <c r="B7103" s="10" t="s">
        <v>6721</v>
      </c>
      <c r="C7103" s="10" t="s">
        <v>6722</v>
      </c>
      <c r="D7103" s="10" t="s">
        <v>6825</v>
      </c>
      <c r="E7103" s="10" t="str">
        <f>"644020240516112431183166"</f>
        <v>644020240516112431183166</v>
      </c>
      <c r="F7103" s="9"/>
    </row>
    <row r="7104" s="2" customFormat="1" ht="30" customHeight="1" spans="1:6">
      <c r="A7104" s="9">
        <v>7101</v>
      </c>
      <c r="B7104" s="10" t="s">
        <v>6721</v>
      </c>
      <c r="C7104" s="10" t="s">
        <v>6722</v>
      </c>
      <c r="D7104" s="10" t="s">
        <v>6826</v>
      </c>
      <c r="E7104" s="10" t="str">
        <f>"644020240517005730184516"</f>
        <v>644020240517005730184516</v>
      </c>
      <c r="F7104" s="9"/>
    </row>
    <row r="7105" s="2" customFormat="1" ht="30" customHeight="1" spans="1:6">
      <c r="A7105" s="9">
        <v>7102</v>
      </c>
      <c r="B7105" s="10" t="s">
        <v>6721</v>
      </c>
      <c r="C7105" s="10" t="s">
        <v>6722</v>
      </c>
      <c r="D7105" s="10" t="s">
        <v>6827</v>
      </c>
      <c r="E7105" s="10" t="str">
        <f>"644020240517013523184533"</f>
        <v>644020240517013523184533</v>
      </c>
      <c r="F7105" s="9"/>
    </row>
    <row r="7106" s="2" customFormat="1" ht="30" customHeight="1" spans="1:6">
      <c r="A7106" s="9">
        <v>7103</v>
      </c>
      <c r="B7106" s="10" t="s">
        <v>6721</v>
      </c>
      <c r="C7106" s="10" t="s">
        <v>6722</v>
      </c>
      <c r="D7106" s="10" t="s">
        <v>6828</v>
      </c>
      <c r="E7106" s="10" t="str">
        <f>"644020240517025349184556"</f>
        <v>644020240517025349184556</v>
      </c>
      <c r="F7106" s="9"/>
    </row>
    <row r="7107" s="2" customFormat="1" ht="30" customHeight="1" spans="1:6">
      <c r="A7107" s="9">
        <v>7104</v>
      </c>
      <c r="B7107" s="10" t="s">
        <v>6721</v>
      </c>
      <c r="C7107" s="10" t="s">
        <v>6722</v>
      </c>
      <c r="D7107" s="10" t="s">
        <v>6521</v>
      </c>
      <c r="E7107" s="10" t="str">
        <f>"644020240516090540182817"</f>
        <v>644020240516090540182817</v>
      </c>
      <c r="F7107" s="9"/>
    </row>
    <row r="7108" s="2" customFormat="1" ht="30" customHeight="1" spans="1:6">
      <c r="A7108" s="9">
        <v>7105</v>
      </c>
      <c r="B7108" s="10" t="s">
        <v>6721</v>
      </c>
      <c r="C7108" s="10" t="s">
        <v>6722</v>
      </c>
      <c r="D7108" s="10" t="s">
        <v>6829</v>
      </c>
      <c r="E7108" s="10" t="str">
        <f>"644020240515194739182196"</f>
        <v>644020240515194739182196</v>
      </c>
      <c r="F7108" s="9"/>
    </row>
    <row r="7109" s="2" customFormat="1" ht="30" customHeight="1" spans="1:6">
      <c r="A7109" s="9">
        <v>7106</v>
      </c>
      <c r="B7109" s="10" t="s">
        <v>6721</v>
      </c>
      <c r="C7109" s="10" t="s">
        <v>6722</v>
      </c>
      <c r="D7109" s="10" t="s">
        <v>6830</v>
      </c>
      <c r="E7109" s="10" t="str">
        <f>"644020240517102438184870"</f>
        <v>644020240517102438184870</v>
      </c>
      <c r="F7109" s="9"/>
    </row>
    <row r="7110" s="2" customFormat="1" ht="30" customHeight="1" spans="1:6">
      <c r="A7110" s="9">
        <v>7107</v>
      </c>
      <c r="B7110" s="10" t="s">
        <v>6721</v>
      </c>
      <c r="C7110" s="10" t="s">
        <v>6722</v>
      </c>
      <c r="D7110" s="10" t="s">
        <v>6831</v>
      </c>
      <c r="E7110" s="10" t="str">
        <f>"644020240517123116185133"</f>
        <v>644020240517123116185133</v>
      </c>
      <c r="F7110" s="9"/>
    </row>
    <row r="7111" s="2" customFormat="1" ht="30" customHeight="1" spans="1:6">
      <c r="A7111" s="9">
        <v>7108</v>
      </c>
      <c r="B7111" s="10" t="s">
        <v>6721</v>
      </c>
      <c r="C7111" s="10" t="s">
        <v>6722</v>
      </c>
      <c r="D7111" s="10" t="s">
        <v>6832</v>
      </c>
      <c r="E7111" s="10" t="str">
        <f>"644020240516125334183320"</f>
        <v>644020240516125334183320</v>
      </c>
      <c r="F7111" s="9"/>
    </row>
    <row r="7112" s="2" customFormat="1" ht="30" customHeight="1" spans="1:6">
      <c r="A7112" s="9">
        <v>7109</v>
      </c>
      <c r="B7112" s="10" t="s">
        <v>6721</v>
      </c>
      <c r="C7112" s="10" t="s">
        <v>6722</v>
      </c>
      <c r="D7112" s="10" t="s">
        <v>6833</v>
      </c>
      <c r="E7112" s="10" t="str">
        <f>"644020240517140846185324"</f>
        <v>644020240517140846185324</v>
      </c>
      <c r="F7112" s="9"/>
    </row>
    <row r="7113" s="2" customFormat="1" ht="30" customHeight="1" spans="1:6">
      <c r="A7113" s="9">
        <v>7110</v>
      </c>
      <c r="B7113" s="10" t="s">
        <v>6721</v>
      </c>
      <c r="C7113" s="10" t="s">
        <v>6722</v>
      </c>
      <c r="D7113" s="10" t="s">
        <v>6834</v>
      </c>
      <c r="E7113" s="10" t="str">
        <f>"644020240517135706185306"</f>
        <v>644020240517135706185306</v>
      </c>
      <c r="F7113" s="9"/>
    </row>
    <row r="7114" s="2" customFormat="1" ht="30" customHeight="1" spans="1:6">
      <c r="A7114" s="9">
        <v>7111</v>
      </c>
      <c r="B7114" s="10" t="s">
        <v>6721</v>
      </c>
      <c r="C7114" s="10" t="s">
        <v>6722</v>
      </c>
      <c r="D7114" s="10" t="s">
        <v>6835</v>
      </c>
      <c r="E7114" s="10" t="str">
        <f>"644020240516230747184372"</f>
        <v>644020240516230747184372</v>
      </c>
      <c r="F7114" s="9"/>
    </row>
    <row r="7115" s="2" customFormat="1" ht="30" customHeight="1" spans="1:6">
      <c r="A7115" s="9">
        <v>7112</v>
      </c>
      <c r="B7115" s="10" t="s">
        <v>6721</v>
      </c>
      <c r="C7115" s="10" t="s">
        <v>6722</v>
      </c>
      <c r="D7115" s="10" t="s">
        <v>6836</v>
      </c>
      <c r="E7115" s="10" t="str">
        <f>"644020240517142152185351"</f>
        <v>644020240517142152185351</v>
      </c>
      <c r="F7115" s="9"/>
    </row>
    <row r="7116" s="2" customFormat="1" ht="30" customHeight="1" spans="1:6">
      <c r="A7116" s="9">
        <v>7113</v>
      </c>
      <c r="B7116" s="10" t="s">
        <v>6721</v>
      </c>
      <c r="C7116" s="10" t="s">
        <v>6722</v>
      </c>
      <c r="D7116" s="10" t="s">
        <v>6837</v>
      </c>
      <c r="E7116" s="10" t="str">
        <f>"644020240517114312185049"</f>
        <v>644020240517114312185049</v>
      </c>
      <c r="F7116" s="9"/>
    </row>
    <row r="7117" s="2" customFormat="1" ht="30" customHeight="1" spans="1:6">
      <c r="A7117" s="9">
        <v>7114</v>
      </c>
      <c r="B7117" s="10" t="s">
        <v>6721</v>
      </c>
      <c r="C7117" s="10" t="s">
        <v>6722</v>
      </c>
      <c r="D7117" s="10" t="s">
        <v>6838</v>
      </c>
      <c r="E7117" s="10" t="str">
        <f>"644020240517144809185392"</f>
        <v>644020240517144809185392</v>
      </c>
      <c r="F7117" s="9"/>
    </row>
    <row r="7118" s="2" customFormat="1" ht="30" customHeight="1" spans="1:6">
      <c r="A7118" s="9">
        <v>7115</v>
      </c>
      <c r="B7118" s="10" t="s">
        <v>6721</v>
      </c>
      <c r="C7118" s="10" t="s">
        <v>6722</v>
      </c>
      <c r="D7118" s="10" t="s">
        <v>6839</v>
      </c>
      <c r="E7118" s="10" t="str">
        <f>"644020240517151007185447"</f>
        <v>644020240517151007185447</v>
      </c>
      <c r="F7118" s="9"/>
    </row>
    <row r="7119" s="2" customFormat="1" ht="30" customHeight="1" spans="1:6">
      <c r="A7119" s="9">
        <v>7116</v>
      </c>
      <c r="B7119" s="10" t="s">
        <v>6721</v>
      </c>
      <c r="C7119" s="10" t="s">
        <v>6722</v>
      </c>
      <c r="D7119" s="10" t="s">
        <v>6840</v>
      </c>
      <c r="E7119" s="10" t="str">
        <f>"644020240517142139185349"</f>
        <v>644020240517142139185349</v>
      </c>
      <c r="F7119" s="9"/>
    </row>
    <row r="7120" s="2" customFormat="1" ht="30" customHeight="1" spans="1:6">
      <c r="A7120" s="9">
        <v>7117</v>
      </c>
      <c r="B7120" s="10" t="s">
        <v>6721</v>
      </c>
      <c r="C7120" s="10" t="s">
        <v>6722</v>
      </c>
      <c r="D7120" s="10" t="s">
        <v>1652</v>
      </c>
      <c r="E7120" s="10" t="str">
        <f>"644020240517213533186014"</f>
        <v>644020240517213533186014</v>
      </c>
      <c r="F7120" s="9"/>
    </row>
    <row r="7121" s="2" customFormat="1" ht="30" customHeight="1" spans="1:6">
      <c r="A7121" s="9">
        <v>7118</v>
      </c>
      <c r="B7121" s="10" t="s">
        <v>6721</v>
      </c>
      <c r="C7121" s="10" t="s">
        <v>6722</v>
      </c>
      <c r="D7121" s="10" t="s">
        <v>6841</v>
      </c>
      <c r="E7121" s="10" t="str">
        <f>"644020240518003117186195"</f>
        <v>644020240518003117186195</v>
      </c>
      <c r="F7121" s="9"/>
    </row>
    <row r="7122" s="2" customFormat="1" ht="30" customHeight="1" spans="1:6">
      <c r="A7122" s="9">
        <v>7119</v>
      </c>
      <c r="B7122" s="10" t="s">
        <v>6721</v>
      </c>
      <c r="C7122" s="10" t="s">
        <v>6722</v>
      </c>
      <c r="D7122" s="10" t="s">
        <v>6842</v>
      </c>
      <c r="E7122" s="10" t="str">
        <f>"644020240518070623186328"</f>
        <v>644020240518070623186328</v>
      </c>
      <c r="F7122" s="9"/>
    </row>
    <row r="7123" s="2" customFormat="1" ht="30" customHeight="1" spans="1:6">
      <c r="A7123" s="9">
        <v>7120</v>
      </c>
      <c r="B7123" s="10" t="s">
        <v>6843</v>
      </c>
      <c r="C7123" s="10" t="s">
        <v>6844</v>
      </c>
      <c r="D7123" s="10" t="s">
        <v>6845</v>
      </c>
      <c r="E7123" s="10" t="str">
        <f>"644020240512090839168130"</f>
        <v>644020240512090839168130</v>
      </c>
      <c r="F7123" s="9"/>
    </row>
    <row r="7124" s="2" customFormat="1" ht="30" customHeight="1" spans="1:6">
      <c r="A7124" s="9">
        <v>7121</v>
      </c>
      <c r="B7124" s="10" t="s">
        <v>6843</v>
      </c>
      <c r="C7124" s="10" t="s">
        <v>6844</v>
      </c>
      <c r="D7124" s="10" t="s">
        <v>6846</v>
      </c>
      <c r="E7124" s="10" t="str">
        <f>"644020240512090046168094"</f>
        <v>644020240512090046168094</v>
      </c>
      <c r="F7124" s="9"/>
    </row>
    <row r="7125" s="2" customFormat="1" ht="30" customHeight="1" spans="1:6">
      <c r="A7125" s="9">
        <v>7122</v>
      </c>
      <c r="B7125" s="10" t="s">
        <v>6843</v>
      </c>
      <c r="C7125" s="10" t="s">
        <v>6844</v>
      </c>
      <c r="D7125" s="10" t="s">
        <v>6847</v>
      </c>
      <c r="E7125" s="10" t="str">
        <f>"644020240512102412168531"</f>
        <v>644020240512102412168531</v>
      </c>
      <c r="F7125" s="9"/>
    </row>
    <row r="7126" s="2" customFormat="1" ht="30" customHeight="1" spans="1:6">
      <c r="A7126" s="9">
        <v>7123</v>
      </c>
      <c r="B7126" s="10" t="s">
        <v>6843</v>
      </c>
      <c r="C7126" s="10" t="s">
        <v>6844</v>
      </c>
      <c r="D7126" s="10" t="s">
        <v>6848</v>
      </c>
      <c r="E7126" s="10" t="str">
        <f>"644020240512123807169154"</f>
        <v>644020240512123807169154</v>
      </c>
      <c r="F7126" s="9"/>
    </row>
    <row r="7127" s="2" customFormat="1" ht="30" customHeight="1" spans="1:6">
      <c r="A7127" s="9">
        <v>7124</v>
      </c>
      <c r="B7127" s="10" t="s">
        <v>6843</v>
      </c>
      <c r="C7127" s="10" t="s">
        <v>6844</v>
      </c>
      <c r="D7127" s="10" t="s">
        <v>6849</v>
      </c>
      <c r="E7127" s="10" t="str">
        <f>"644020240512130140169243"</f>
        <v>644020240512130140169243</v>
      </c>
      <c r="F7127" s="9"/>
    </row>
    <row r="7128" s="2" customFormat="1" ht="30" customHeight="1" spans="1:6">
      <c r="A7128" s="9">
        <v>7125</v>
      </c>
      <c r="B7128" s="10" t="s">
        <v>6843</v>
      </c>
      <c r="C7128" s="10" t="s">
        <v>6844</v>
      </c>
      <c r="D7128" s="10" t="s">
        <v>6850</v>
      </c>
      <c r="E7128" s="10" t="str">
        <f>"644020240512120600169039"</f>
        <v>644020240512120600169039</v>
      </c>
      <c r="F7128" s="9"/>
    </row>
    <row r="7129" s="2" customFormat="1" ht="30" customHeight="1" spans="1:6">
      <c r="A7129" s="9">
        <v>7126</v>
      </c>
      <c r="B7129" s="10" t="s">
        <v>6843</v>
      </c>
      <c r="C7129" s="10" t="s">
        <v>6844</v>
      </c>
      <c r="D7129" s="10" t="s">
        <v>6851</v>
      </c>
      <c r="E7129" s="10" t="str">
        <f>"644020240512134749169424"</f>
        <v>644020240512134749169424</v>
      </c>
      <c r="F7129" s="9"/>
    </row>
    <row r="7130" s="2" customFormat="1" ht="30" customHeight="1" spans="1:6">
      <c r="A7130" s="9">
        <v>7127</v>
      </c>
      <c r="B7130" s="10" t="s">
        <v>6843</v>
      </c>
      <c r="C7130" s="10" t="s">
        <v>6844</v>
      </c>
      <c r="D7130" s="10" t="s">
        <v>6852</v>
      </c>
      <c r="E7130" s="10" t="str">
        <f>"644020240512134436169417"</f>
        <v>644020240512134436169417</v>
      </c>
      <c r="F7130" s="9"/>
    </row>
    <row r="7131" s="2" customFormat="1" ht="30" customHeight="1" spans="1:6">
      <c r="A7131" s="9">
        <v>7128</v>
      </c>
      <c r="B7131" s="10" t="s">
        <v>6843</v>
      </c>
      <c r="C7131" s="10" t="s">
        <v>6844</v>
      </c>
      <c r="D7131" s="10" t="s">
        <v>6853</v>
      </c>
      <c r="E7131" s="10" t="str">
        <f>"644020240512141854169517"</f>
        <v>644020240512141854169517</v>
      </c>
      <c r="F7131" s="9"/>
    </row>
    <row r="7132" s="2" customFormat="1" ht="30" customHeight="1" spans="1:6">
      <c r="A7132" s="9">
        <v>7129</v>
      </c>
      <c r="B7132" s="10" t="s">
        <v>6843</v>
      </c>
      <c r="C7132" s="10" t="s">
        <v>6844</v>
      </c>
      <c r="D7132" s="10" t="s">
        <v>6854</v>
      </c>
      <c r="E7132" s="10" t="str">
        <f>"644020240512103649168604"</f>
        <v>644020240512103649168604</v>
      </c>
      <c r="F7132" s="9"/>
    </row>
    <row r="7133" s="2" customFormat="1" ht="30" customHeight="1" spans="1:6">
      <c r="A7133" s="9">
        <v>7130</v>
      </c>
      <c r="B7133" s="10" t="s">
        <v>6843</v>
      </c>
      <c r="C7133" s="10" t="s">
        <v>6844</v>
      </c>
      <c r="D7133" s="10" t="s">
        <v>6855</v>
      </c>
      <c r="E7133" s="10" t="str">
        <f>"644020240512140032169457"</f>
        <v>644020240512140032169457</v>
      </c>
      <c r="F7133" s="9"/>
    </row>
    <row r="7134" s="2" customFormat="1" ht="30" customHeight="1" spans="1:6">
      <c r="A7134" s="9">
        <v>7131</v>
      </c>
      <c r="B7134" s="10" t="s">
        <v>6843</v>
      </c>
      <c r="C7134" s="10" t="s">
        <v>6844</v>
      </c>
      <c r="D7134" s="10" t="s">
        <v>6856</v>
      </c>
      <c r="E7134" s="10" t="str">
        <f>"644020240512163416170022"</f>
        <v>644020240512163416170022</v>
      </c>
      <c r="F7134" s="9"/>
    </row>
    <row r="7135" s="2" customFormat="1" ht="30" customHeight="1" spans="1:6">
      <c r="A7135" s="9">
        <v>7132</v>
      </c>
      <c r="B7135" s="10" t="s">
        <v>6843</v>
      </c>
      <c r="C7135" s="10" t="s">
        <v>6844</v>
      </c>
      <c r="D7135" s="10" t="s">
        <v>6857</v>
      </c>
      <c r="E7135" s="10" t="str">
        <f>"644020240512170031170110"</f>
        <v>644020240512170031170110</v>
      </c>
      <c r="F7135" s="9"/>
    </row>
    <row r="7136" s="2" customFormat="1" ht="30" customHeight="1" spans="1:6">
      <c r="A7136" s="9">
        <v>7133</v>
      </c>
      <c r="B7136" s="10" t="s">
        <v>6843</v>
      </c>
      <c r="C7136" s="10" t="s">
        <v>6844</v>
      </c>
      <c r="D7136" s="10" t="s">
        <v>6858</v>
      </c>
      <c r="E7136" s="10" t="str">
        <f>"644020240512104956168673"</f>
        <v>644020240512104956168673</v>
      </c>
      <c r="F7136" s="9"/>
    </row>
    <row r="7137" s="2" customFormat="1" ht="30" customHeight="1" spans="1:6">
      <c r="A7137" s="9">
        <v>7134</v>
      </c>
      <c r="B7137" s="10" t="s">
        <v>6843</v>
      </c>
      <c r="C7137" s="10" t="s">
        <v>6844</v>
      </c>
      <c r="D7137" s="10" t="s">
        <v>6859</v>
      </c>
      <c r="E7137" s="10" t="str">
        <f>"644020240512190242170519"</f>
        <v>644020240512190242170519</v>
      </c>
      <c r="F7137" s="9"/>
    </row>
    <row r="7138" s="2" customFormat="1" ht="30" customHeight="1" spans="1:6">
      <c r="A7138" s="9">
        <v>7135</v>
      </c>
      <c r="B7138" s="10" t="s">
        <v>6843</v>
      </c>
      <c r="C7138" s="10" t="s">
        <v>6844</v>
      </c>
      <c r="D7138" s="10" t="s">
        <v>6860</v>
      </c>
      <c r="E7138" s="10" t="str">
        <f>"644020240512131658169308"</f>
        <v>644020240512131658169308</v>
      </c>
      <c r="F7138" s="9"/>
    </row>
    <row r="7139" s="2" customFormat="1" ht="30" customHeight="1" spans="1:6">
      <c r="A7139" s="9">
        <v>7136</v>
      </c>
      <c r="B7139" s="10" t="s">
        <v>6843</v>
      </c>
      <c r="C7139" s="10" t="s">
        <v>6844</v>
      </c>
      <c r="D7139" s="10" t="s">
        <v>6861</v>
      </c>
      <c r="E7139" s="10" t="str">
        <f>"644020240512180638170330"</f>
        <v>644020240512180638170330</v>
      </c>
      <c r="F7139" s="9"/>
    </row>
    <row r="7140" s="2" customFormat="1" ht="30" customHeight="1" spans="1:6">
      <c r="A7140" s="9">
        <v>7137</v>
      </c>
      <c r="B7140" s="10" t="s">
        <v>6843</v>
      </c>
      <c r="C7140" s="10" t="s">
        <v>6844</v>
      </c>
      <c r="D7140" s="10" t="s">
        <v>6862</v>
      </c>
      <c r="E7140" s="10" t="str">
        <f>"644020240512214247171220"</f>
        <v>644020240512214247171220</v>
      </c>
      <c r="F7140" s="9"/>
    </row>
    <row r="7141" s="2" customFormat="1" ht="30" customHeight="1" spans="1:6">
      <c r="A7141" s="9">
        <v>7138</v>
      </c>
      <c r="B7141" s="10" t="s">
        <v>6843</v>
      </c>
      <c r="C7141" s="10" t="s">
        <v>6844</v>
      </c>
      <c r="D7141" s="10" t="s">
        <v>1382</v>
      </c>
      <c r="E7141" s="10" t="str">
        <f>"644020240512214438171230"</f>
        <v>644020240512214438171230</v>
      </c>
      <c r="F7141" s="9"/>
    </row>
    <row r="7142" s="2" customFormat="1" ht="30" customHeight="1" spans="1:6">
      <c r="A7142" s="9">
        <v>7139</v>
      </c>
      <c r="B7142" s="10" t="s">
        <v>6843</v>
      </c>
      <c r="C7142" s="10" t="s">
        <v>6844</v>
      </c>
      <c r="D7142" s="10" t="s">
        <v>6863</v>
      </c>
      <c r="E7142" s="10" t="str">
        <f>"644020240512211739171083"</f>
        <v>644020240512211739171083</v>
      </c>
      <c r="F7142" s="9"/>
    </row>
    <row r="7143" s="2" customFormat="1" ht="30" customHeight="1" spans="1:6">
      <c r="A7143" s="9">
        <v>7140</v>
      </c>
      <c r="B7143" s="10" t="s">
        <v>6843</v>
      </c>
      <c r="C7143" s="10" t="s">
        <v>6844</v>
      </c>
      <c r="D7143" s="10" t="s">
        <v>6864</v>
      </c>
      <c r="E7143" s="10" t="str">
        <f>"644020240512150841169680"</f>
        <v>644020240512150841169680</v>
      </c>
      <c r="F7143" s="9"/>
    </row>
    <row r="7144" s="2" customFormat="1" ht="30" customHeight="1" spans="1:6">
      <c r="A7144" s="9">
        <v>7141</v>
      </c>
      <c r="B7144" s="10" t="s">
        <v>6843</v>
      </c>
      <c r="C7144" s="10" t="s">
        <v>6844</v>
      </c>
      <c r="D7144" s="10" t="s">
        <v>6865</v>
      </c>
      <c r="E7144" s="10" t="str">
        <f>"644020240512092512168217"</f>
        <v>644020240512092512168217</v>
      </c>
      <c r="F7144" s="9"/>
    </row>
    <row r="7145" s="2" customFormat="1" ht="30" customHeight="1" spans="1:6">
      <c r="A7145" s="9">
        <v>7142</v>
      </c>
      <c r="B7145" s="10" t="s">
        <v>6843</v>
      </c>
      <c r="C7145" s="10" t="s">
        <v>6844</v>
      </c>
      <c r="D7145" s="10" t="s">
        <v>6866</v>
      </c>
      <c r="E7145" s="10" t="str">
        <f>"644020240513092042172715"</f>
        <v>644020240513092042172715</v>
      </c>
      <c r="F7145" s="9"/>
    </row>
    <row r="7146" s="2" customFormat="1" ht="30" customHeight="1" spans="1:6">
      <c r="A7146" s="9">
        <v>7143</v>
      </c>
      <c r="B7146" s="10" t="s">
        <v>6843</v>
      </c>
      <c r="C7146" s="10" t="s">
        <v>6844</v>
      </c>
      <c r="D7146" s="10" t="s">
        <v>6867</v>
      </c>
      <c r="E7146" s="10" t="str">
        <f>"644020240512120421169030"</f>
        <v>644020240512120421169030</v>
      </c>
      <c r="F7146" s="9"/>
    </row>
    <row r="7147" s="2" customFormat="1" ht="30" customHeight="1" spans="1:6">
      <c r="A7147" s="9">
        <v>7144</v>
      </c>
      <c r="B7147" s="10" t="s">
        <v>6843</v>
      </c>
      <c r="C7147" s="10" t="s">
        <v>6844</v>
      </c>
      <c r="D7147" s="10" t="s">
        <v>4845</v>
      </c>
      <c r="E7147" s="10" t="str">
        <f>"644020240513090252172520"</f>
        <v>644020240513090252172520</v>
      </c>
      <c r="F7147" s="9"/>
    </row>
    <row r="7148" s="2" customFormat="1" ht="30" customHeight="1" spans="1:6">
      <c r="A7148" s="9">
        <v>7145</v>
      </c>
      <c r="B7148" s="10" t="s">
        <v>6843</v>
      </c>
      <c r="C7148" s="10" t="s">
        <v>6844</v>
      </c>
      <c r="D7148" s="10" t="s">
        <v>6868</v>
      </c>
      <c r="E7148" s="10" t="str">
        <f>"644020240513092258172740"</f>
        <v>644020240513092258172740</v>
      </c>
      <c r="F7148" s="9"/>
    </row>
    <row r="7149" s="2" customFormat="1" ht="30" customHeight="1" spans="1:6">
      <c r="A7149" s="9">
        <v>7146</v>
      </c>
      <c r="B7149" s="10" t="s">
        <v>6843</v>
      </c>
      <c r="C7149" s="10" t="s">
        <v>6844</v>
      </c>
      <c r="D7149" s="10" t="s">
        <v>6869</v>
      </c>
      <c r="E7149" s="10" t="str">
        <f>"644020240512113822168927"</f>
        <v>644020240512113822168927</v>
      </c>
      <c r="F7149" s="9"/>
    </row>
    <row r="7150" s="2" customFormat="1" ht="30" customHeight="1" spans="1:6">
      <c r="A7150" s="9">
        <v>7147</v>
      </c>
      <c r="B7150" s="10" t="s">
        <v>6843</v>
      </c>
      <c r="C7150" s="10" t="s">
        <v>6844</v>
      </c>
      <c r="D7150" s="10" t="s">
        <v>6870</v>
      </c>
      <c r="E7150" s="10" t="str">
        <f>"644020240513100909173202"</f>
        <v>644020240513100909173202</v>
      </c>
      <c r="F7150" s="9"/>
    </row>
    <row r="7151" s="2" customFormat="1" ht="30" customHeight="1" spans="1:6">
      <c r="A7151" s="9">
        <v>7148</v>
      </c>
      <c r="B7151" s="10" t="s">
        <v>6843</v>
      </c>
      <c r="C7151" s="10" t="s">
        <v>6844</v>
      </c>
      <c r="D7151" s="10" t="s">
        <v>6181</v>
      </c>
      <c r="E7151" s="10" t="str">
        <f>"644020240513095859173109"</f>
        <v>644020240513095859173109</v>
      </c>
      <c r="F7151" s="9"/>
    </row>
    <row r="7152" s="2" customFormat="1" ht="30" customHeight="1" spans="1:6">
      <c r="A7152" s="9">
        <v>7149</v>
      </c>
      <c r="B7152" s="10" t="s">
        <v>6843</v>
      </c>
      <c r="C7152" s="10" t="s">
        <v>6844</v>
      </c>
      <c r="D7152" s="10" t="s">
        <v>6372</v>
      </c>
      <c r="E7152" s="10" t="str">
        <f>"644020240513101759173289"</f>
        <v>644020240513101759173289</v>
      </c>
      <c r="F7152" s="9"/>
    </row>
    <row r="7153" s="2" customFormat="1" ht="30" customHeight="1" spans="1:6">
      <c r="A7153" s="9">
        <v>7150</v>
      </c>
      <c r="B7153" s="10" t="s">
        <v>6843</v>
      </c>
      <c r="C7153" s="10" t="s">
        <v>6844</v>
      </c>
      <c r="D7153" s="10" t="s">
        <v>6871</v>
      </c>
      <c r="E7153" s="10" t="str">
        <f>"644020240512175801170301"</f>
        <v>644020240512175801170301</v>
      </c>
      <c r="F7153" s="9"/>
    </row>
    <row r="7154" s="2" customFormat="1" ht="30" customHeight="1" spans="1:6">
      <c r="A7154" s="9">
        <v>7151</v>
      </c>
      <c r="B7154" s="10" t="s">
        <v>6843</v>
      </c>
      <c r="C7154" s="10" t="s">
        <v>6844</v>
      </c>
      <c r="D7154" s="10" t="s">
        <v>6872</v>
      </c>
      <c r="E7154" s="10" t="str">
        <f>"644020240513095052173029"</f>
        <v>644020240513095052173029</v>
      </c>
      <c r="F7154" s="9"/>
    </row>
    <row r="7155" s="2" customFormat="1" ht="30" customHeight="1" spans="1:6">
      <c r="A7155" s="9">
        <v>7152</v>
      </c>
      <c r="B7155" s="10" t="s">
        <v>6843</v>
      </c>
      <c r="C7155" s="10" t="s">
        <v>6844</v>
      </c>
      <c r="D7155" s="10" t="s">
        <v>6873</v>
      </c>
      <c r="E7155" s="10" t="str">
        <f>"644020240513102255173340"</f>
        <v>644020240513102255173340</v>
      </c>
      <c r="F7155" s="9"/>
    </row>
    <row r="7156" s="2" customFormat="1" ht="30" customHeight="1" spans="1:6">
      <c r="A7156" s="9">
        <v>7153</v>
      </c>
      <c r="B7156" s="10" t="s">
        <v>6843</v>
      </c>
      <c r="C7156" s="10" t="s">
        <v>6844</v>
      </c>
      <c r="D7156" s="10" t="s">
        <v>6874</v>
      </c>
      <c r="E7156" s="10" t="str">
        <f>"644020240513094822172996"</f>
        <v>644020240513094822172996</v>
      </c>
      <c r="F7156" s="9"/>
    </row>
    <row r="7157" s="2" customFormat="1" ht="30" customHeight="1" spans="1:6">
      <c r="A7157" s="9">
        <v>7154</v>
      </c>
      <c r="B7157" s="10" t="s">
        <v>6843</v>
      </c>
      <c r="C7157" s="10" t="s">
        <v>6844</v>
      </c>
      <c r="D7157" s="10" t="s">
        <v>6875</v>
      </c>
      <c r="E7157" s="10" t="str">
        <f>"644020240513094729172983"</f>
        <v>644020240513094729172983</v>
      </c>
      <c r="F7157" s="9"/>
    </row>
    <row r="7158" s="2" customFormat="1" ht="30" customHeight="1" spans="1:6">
      <c r="A7158" s="9">
        <v>7155</v>
      </c>
      <c r="B7158" s="10" t="s">
        <v>6843</v>
      </c>
      <c r="C7158" s="10" t="s">
        <v>6844</v>
      </c>
      <c r="D7158" s="10" t="s">
        <v>6876</v>
      </c>
      <c r="E7158" s="10" t="str">
        <f>"644020240512155424169859"</f>
        <v>644020240512155424169859</v>
      </c>
      <c r="F7158" s="9"/>
    </row>
    <row r="7159" s="2" customFormat="1" ht="30" customHeight="1" spans="1:6">
      <c r="A7159" s="9">
        <v>7156</v>
      </c>
      <c r="B7159" s="10" t="s">
        <v>6843</v>
      </c>
      <c r="C7159" s="10" t="s">
        <v>6844</v>
      </c>
      <c r="D7159" s="10" t="s">
        <v>6877</v>
      </c>
      <c r="E7159" s="10" t="str">
        <f>"644020240512113940168935"</f>
        <v>644020240512113940168935</v>
      </c>
      <c r="F7159" s="9"/>
    </row>
    <row r="7160" s="2" customFormat="1" ht="30" customHeight="1" spans="1:6">
      <c r="A7160" s="9">
        <v>7157</v>
      </c>
      <c r="B7160" s="10" t="s">
        <v>6843</v>
      </c>
      <c r="C7160" s="10" t="s">
        <v>6844</v>
      </c>
      <c r="D7160" s="10" t="s">
        <v>6658</v>
      </c>
      <c r="E7160" s="10" t="str">
        <f>"644020240513123727174339"</f>
        <v>644020240513123727174339</v>
      </c>
      <c r="F7160" s="9"/>
    </row>
    <row r="7161" s="2" customFormat="1" ht="30" customHeight="1" spans="1:6">
      <c r="A7161" s="9">
        <v>7158</v>
      </c>
      <c r="B7161" s="10" t="s">
        <v>6843</v>
      </c>
      <c r="C7161" s="10" t="s">
        <v>6844</v>
      </c>
      <c r="D7161" s="10" t="s">
        <v>6878</v>
      </c>
      <c r="E7161" s="10" t="str">
        <f>"644020240513145219175125"</f>
        <v>644020240513145219175125</v>
      </c>
      <c r="F7161" s="9"/>
    </row>
    <row r="7162" s="2" customFormat="1" ht="30" customHeight="1" spans="1:6">
      <c r="A7162" s="9">
        <v>7159</v>
      </c>
      <c r="B7162" s="10" t="s">
        <v>6843</v>
      </c>
      <c r="C7162" s="10" t="s">
        <v>6844</v>
      </c>
      <c r="D7162" s="10" t="s">
        <v>6879</v>
      </c>
      <c r="E7162" s="10" t="str">
        <f>"644020240513113619174004"</f>
        <v>644020240513113619174004</v>
      </c>
      <c r="F7162" s="9"/>
    </row>
    <row r="7163" s="2" customFormat="1" ht="30" customHeight="1" spans="1:6">
      <c r="A7163" s="9">
        <v>7160</v>
      </c>
      <c r="B7163" s="10" t="s">
        <v>6843</v>
      </c>
      <c r="C7163" s="10" t="s">
        <v>6844</v>
      </c>
      <c r="D7163" s="10" t="s">
        <v>6880</v>
      </c>
      <c r="E7163" s="10" t="str">
        <f>"644020240513152245175400"</f>
        <v>644020240513152245175400</v>
      </c>
      <c r="F7163" s="9"/>
    </row>
    <row r="7164" s="2" customFormat="1" ht="30" customHeight="1" spans="1:6">
      <c r="A7164" s="9">
        <v>7161</v>
      </c>
      <c r="B7164" s="10" t="s">
        <v>6843</v>
      </c>
      <c r="C7164" s="10" t="s">
        <v>6844</v>
      </c>
      <c r="D7164" s="10" t="s">
        <v>6881</v>
      </c>
      <c r="E7164" s="10" t="str">
        <f>"644020240513160843175837"</f>
        <v>644020240513160843175837</v>
      </c>
      <c r="F7164" s="9"/>
    </row>
    <row r="7165" s="2" customFormat="1" ht="30" customHeight="1" spans="1:6">
      <c r="A7165" s="9">
        <v>7162</v>
      </c>
      <c r="B7165" s="10" t="s">
        <v>6843</v>
      </c>
      <c r="C7165" s="10" t="s">
        <v>6844</v>
      </c>
      <c r="D7165" s="10" t="s">
        <v>6882</v>
      </c>
      <c r="E7165" s="10" t="str">
        <f>"644020240513092526172764"</f>
        <v>644020240513092526172764</v>
      </c>
      <c r="F7165" s="9"/>
    </row>
    <row r="7166" s="2" customFormat="1" ht="30" customHeight="1" spans="1:6">
      <c r="A7166" s="9">
        <v>7163</v>
      </c>
      <c r="B7166" s="10" t="s">
        <v>6843</v>
      </c>
      <c r="C7166" s="10" t="s">
        <v>6844</v>
      </c>
      <c r="D7166" s="10" t="s">
        <v>6883</v>
      </c>
      <c r="E7166" s="10" t="str">
        <f>"644020240513165057176055"</f>
        <v>644020240513165057176055</v>
      </c>
      <c r="F7166" s="9"/>
    </row>
    <row r="7167" s="2" customFormat="1" ht="30" customHeight="1" spans="1:6">
      <c r="A7167" s="9">
        <v>7164</v>
      </c>
      <c r="B7167" s="10" t="s">
        <v>6843</v>
      </c>
      <c r="C7167" s="10" t="s">
        <v>6844</v>
      </c>
      <c r="D7167" s="10" t="s">
        <v>6884</v>
      </c>
      <c r="E7167" s="10" t="str">
        <f>"644020240513161807175881"</f>
        <v>644020240513161807175881</v>
      </c>
      <c r="F7167" s="9"/>
    </row>
    <row r="7168" s="2" customFormat="1" ht="30" customHeight="1" spans="1:6">
      <c r="A7168" s="9">
        <v>7165</v>
      </c>
      <c r="B7168" s="10" t="s">
        <v>6843</v>
      </c>
      <c r="C7168" s="10" t="s">
        <v>6844</v>
      </c>
      <c r="D7168" s="10" t="s">
        <v>6885</v>
      </c>
      <c r="E7168" s="10" t="str">
        <f>"644020240513170510176120"</f>
        <v>644020240513170510176120</v>
      </c>
      <c r="F7168" s="9"/>
    </row>
    <row r="7169" s="2" customFormat="1" ht="30" customHeight="1" spans="1:6">
      <c r="A7169" s="9">
        <v>7166</v>
      </c>
      <c r="B7169" s="10" t="s">
        <v>6843</v>
      </c>
      <c r="C7169" s="10" t="s">
        <v>6844</v>
      </c>
      <c r="D7169" s="10" t="s">
        <v>6886</v>
      </c>
      <c r="E7169" s="10" t="str">
        <f>"644020240513173319176247"</f>
        <v>644020240513173319176247</v>
      </c>
      <c r="F7169" s="9"/>
    </row>
    <row r="7170" s="2" customFormat="1" ht="30" customHeight="1" spans="1:6">
      <c r="A7170" s="9">
        <v>7167</v>
      </c>
      <c r="B7170" s="10" t="s">
        <v>6843</v>
      </c>
      <c r="C7170" s="10" t="s">
        <v>6844</v>
      </c>
      <c r="D7170" s="10" t="s">
        <v>6887</v>
      </c>
      <c r="E7170" s="10" t="str">
        <f>"644020240513125827174507"</f>
        <v>644020240513125827174507</v>
      </c>
      <c r="F7170" s="9"/>
    </row>
    <row r="7171" s="2" customFormat="1" ht="30" customHeight="1" spans="1:6">
      <c r="A7171" s="9">
        <v>7168</v>
      </c>
      <c r="B7171" s="10" t="s">
        <v>6843</v>
      </c>
      <c r="C7171" s="10" t="s">
        <v>6844</v>
      </c>
      <c r="D7171" s="10" t="s">
        <v>6888</v>
      </c>
      <c r="E7171" s="10" t="str">
        <f>"644020240512172000170178"</f>
        <v>644020240512172000170178</v>
      </c>
      <c r="F7171" s="9"/>
    </row>
    <row r="7172" s="2" customFormat="1" ht="30" customHeight="1" spans="1:6">
      <c r="A7172" s="9">
        <v>7169</v>
      </c>
      <c r="B7172" s="10" t="s">
        <v>6843</v>
      </c>
      <c r="C7172" s="10" t="s">
        <v>6844</v>
      </c>
      <c r="D7172" s="10" t="s">
        <v>6889</v>
      </c>
      <c r="E7172" s="10" t="str">
        <f>"644020240512113729168925"</f>
        <v>644020240512113729168925</v>
      </c>
      <c r="F7172" s="9"/>
    </row>
    <row r="7173" s="2" customFormat="1" ht="30" customHeight="1" spans="1:6">
      <c r="A7173" s="9">
        <v>7170</v>
      </c>
      <c r="B7173" s="10" t="s">
        <v>6843</v>
      </c>
      <c r="C7173" s="10" t="s">
        <v>6844</v>
      </c>
      <c r="D7173" s="10" t="s">
        <v>5965</v>
      </c>
      <c r="E7173" s="10" t="str">
        <f>"644020240513183931176449"</f>
        <v>644020240513183931176449</v>
      </c>
      <c r="F7173" s="9"/>
    </row>
    <row r="7174" s="2" customFormat="1" ht="30" customHeight="1" spans="1:6">
      <c r="A7174" s="9">
        <v>7171</v>
      </c>
      <c r="B7174" s="10" t="s">
        <v>6843</v>
      </c>
      <c r="C7174" s="10" t="s">
        <v>6844</v>
      </c>
      <c r="D7174" s="10" t="s">
        <v>6890</v>
      </c>
      <c r="E7174" s="10" t="str">
        <f>"644020240513173459176252"</f>
        <v>644020240513173459176252</v>
      </c>
      <c r="F7174" s="9"/>
    </row>
    <row r="7175" s="2" customFormat="1" ht="30" customHeight="1" spans="1:6">
      <c r="A7175" s="9">
        <v>7172</v>
      </c>
      <c r="B7175" s="10" t="s">
        <v>6843</v>
      </c>
      <c r="C7175" s="10" t="s">
        <v>6844</v>
      </c>
      <c r="D7175" s="10" t="s">
        <v>6891</v>
      </c>
      <c r="E7175" s="10" t="str">
        <f>"644020240513153107175479"</f>
        <v>644020240513153107175479</v>
      </c>
      <c r="F7175" s="9"/>
    </row>
    <row r="7176" s="2" customFormat="1" ht="30" customHeight="1" spans="1:6">
      <c r="A7176" s="9">
        <v>7173</v>
      </c>
      <c r="B7176" s="10" t="s">
        <v>6843</v>
      </c>
      <c r="C7176" s="10" t="s">
        <v>6844</v>
      </c>
      <c r="D7176" s="10" t="s">
        <v>6892</v>
      </c>
      <c r="E7176" s="10" t="str">
        <f>"644020240513192424176593"</f>
        <v>644020240513192424176593</v>
      </c>
      <c r="F7176" s="9"/>
    </row>
    <row r="7177" s="2" customFormat="1" ht="30" customHeight="1" spans="1:6">
      <c r="A7177" s="9">
        <v>7174</v>
      </c>
      <c r="B7177" s="10" t="s">
        <v>6843</v>
      </c>
      <c r="C7177" s="10" t="s">
        <v>6844</v>
      </c>
      <c r="D7177" s="10" t="s">
        <v>6893</v>
      </c>
      <c r="E7177" s="10" t="str">
        <f>"644020240513192127176580"</f>
        <v>644020240513192127176580</v>
      </c>
      <c r="F7177" s="9"/>
    </row>
    <row r="7178" s="2" customFormat="1" ht="30" customHeight="1" spans="1:6">
      <c r="A7178" s="9">
        <v>7175</v>
      </c>
      <c r="B7178" s="10" t="s">
        <v>6843</v>
      </c>
      <c r="C7178" s="10" t="s">
        <v>6844</v>
      </c>
      <c r="D7178" s="10" t="s">
        <v>6894</v>
      </c>
      <c r="E7178" s="10" t="str">
        <f>"644020240513201022176762"</f>
        <v>644020240513201022176762</v>
      </c>
      <c r="F7178" s="9"/>
    </row>
    <row r="7179" s="2" customFormat="1" ht="30" customHeight="1" spans="1:6">
      <c r="A7179" s="9">
        <v>7176</v>
      </c>
      <c r="B7179" s="10" t="s">
        <v>6843</v>
      </c>
      <c r="C7179" s="10" t="s">
        <v>6844</v>
      </c>
      <c r="D7179" s="10" t="s">
        <v>6895</v>
      </c>
      <c r="E7179" s="10" t="str">
        <f>"644020240513194751176681"</f>
        <v>644020240513194751176681</v>
      </c>
      <c r="F7179" s="9"/>
    </row>
    <row r="7180" s="2" customFormat="1" ht="30" customHeight="1" spans="1:6">
      <c r="A7180" s="9">
        <v>7177</v>
      </c>
      <c r="B7180" s="10" t="s">
        <v>6843</v>
      </c>
      <c r="C7180" s="10" t="s">
        <v>6844</v>
      </c>
      <c r="D7180" s="10" t="s">
        <v>6896</v>
      </c>
      <c r="E7180" s="10" t="str">
        <f>"644020240513204223176890"</f>
        <v>644020240513204223176890</v>
      </c>
      <c r="F7180" s="9"/>
    </row>
    <row r="7181" s="2" customFormat="1" ht="30" customHeight="1" spans="1:6">
      <c r="A7181" s="9">
        <v>7178</v>
      </c>
      <c r="B7181" s="10" t="s">
        <v>6843</v>
      </c>
      <c r="C7181" s="10" t="s">
        <v>6844</v>
      </c>
      <c r="D7181" s="10" t="s">
        <v>4931</v>
      </c>
      <c r="E7181" s="10" t="str">
        <f>"644020240513183002176427"</f>
        <v>644020240513183002176427</v>
      </c>
      <c r="F7181" s="9"/>
    </row>
    <row r="7182" s="2" customFormat="1" ht="30" customHeight="1" spans="1:6">
      <c r="A7182" s="9">
        <v>7179</v>
      </c>
      <c r="B7182" s="10" t="s">
        <v>6843</v>
      </c>
      <c r="C7182" s="10" t="s">
        <v>6844</v>
      </c>
      <c r="D7182" s="10" t="s">
        <v>6897</v>
      </c>
      <c r="E7182" s="10" t="str">
        <f>"644020240512223048171500"</f>
        <v>644020240512223048171500</v>
      </c>
      <c r="F7182" s="9"/>
    </row>
    <row r="7183" s="2" customFormat="1" ht="30" customHeight="1" spans="1:6">
      <c r="A7183" s="9">
        <v>7180</v>
      </c>
      <c r="B7183" s="10" t="s">
        <v>6843</v>
      </c>
      <c r="C7183" s="10" t="s">
        <v>6844</v>
      </c>
      <c r="D7183" s="10" t="s">
        <v>6898</v>
      </c>
      <c r="E7183" s="10" t="str">
        <f>"644020240513215057177175"</f>
        <v>644020240513215057177175</v>
      </c>
      <c r="F7183" s="9"/>
    </row>
    <row r="7184" s="2" customFormat="1" ht="30" customHeight="1" spans="1:6">
      <c r="A7184" s="9">
        <v>7181</v>
      </c>
      <c r="B7184" s="10" t="s">
        <v>6843</v>
      </c>
      <c r="C7184" s="10" t="s">
        <v>6844</v>
      </c>
      <c r="D7184" s="10" t="s">
        <v>6899</v>
      </c>
      <c r="E7184" s="10" t="str">
        <f>"644020240513215603177204"</f>
        <v>644020240513215603177204</v>
      </c>
      <c r="F7184" s="9"/>
    </row>
    <row r="7185" s="2" customFormat="1" ht="30" customHeight="1" spans="1:6">
      <c r="A7185" s="9">
        <v>7182</v>
      </c>
      <c r="B7185" s="10" t="s">
        <v>6843</v>
      </c>
      <c r="C7185" s="10" t="s">
        <v>6844</v>
      </c>
      <c r="D7185" s="10" t="s">
        <v>6900</v>
      </c>
      <c r="E7185" s="10" t="str">
        <f>"644020240513090156172507"</f>
        <v>644020240513090156172507</v>
      </c>
      <c r="F7185" s="9"/>
    </row>
    <row r="7186" s="2" customFormat="1" ht="30" customHeight="1" spans="1:6">
      <c r="A7186" s="9">
        <v>7183</v>
      </c>
      <c r="B7186" s="10" t="s">
        <v>6843</v>
      </c>
      <c r="C7186" s="10" t="s">
        <v>6844</v>
      </c>
      <c r="D7186" s="10" t="s">
        <v>6901</v>
      </c>
      <c r="E7186" s="10" t="str">
        <f>"644020240512150026169649"</f>
        <v>644020240512150026169649</v>
      </c>
      <c r="F7186" s="9"/>
    </row>
    <row r="7187" s="2" customFormat="1" ht="30" customHeight="1" spans="1:6">
      <c r="A7187" s="9">
        <v>7184</v>
      </c>
      <c r="B7187" s="10" t="s">
        <v>6843</v>
      </c>
      <c r="C7187" s="10" t="s">
        <v>6844</v>
      </c>
      <c r="D7187" s="10" t="s">
        <v>6902</v>
      </c>
      <c r="E7187" s="10" t="str">
        <f>"644020240513215734177210"</f>
        <v>644020240513215734177210</v>
      </c>
      <c r="F7187" s="9"/>
    </row>
    <row r="7188" s="2" customFormat="1" ht="30" customHeight="1" spans="1:6">
      <c r="A7188" s="9">
        <v>7185</v>
      </c>
      <c r="B7188" s="10" t="s">
        <v>6843</v>
      </c>
      <c r="C7188" s="10" t="s">
        <v>6844</v>
      </c>
      <c r="D7188" s="10" t="s">
        <v>1871</v>
      </c>
      <c r="E7188" s="10" t="str">
        <f>"644020240513230046177494"</f>
        <v>644020240513230046177494</v>
      </c>
      <c r="F7188" s="9"/>
    </row>
    <row r="7189" s="2" customFormat="1" ht="30" customHeight="1" spans="1:6">
      <c r="A7189" s="9">
        <v>7186</v>
      </c>
      <c r="B7189" s="10" t="s">
        <v>6843</v>
      </c>
      <c r="C7189" s="10" t="s">
        <v>6844</v>
      </c>
      <c r="D7189" s="10" t="s">
        <v>6903</v>
      </c>
      <c r="E7189" s="10" t="str">
        <f>"644020240513221018177274"</f>
        <v>644020240513221018177274</v>
      </c>
      <c r="F7189" s="9"/>
    </row>
    <row r="7190" s="2" customFormat="1" ht="30" customHeight="1" spans="1:6">
      <c r="A7190" s="9">
        <v>7187</v>
      </c>
      <c r="B7190" s="10" t="s">
        <v>6843</v>
      </c>
      <c r="C7190" s="10" t="s">
        <v>6844</v>
      </c>
      <c r="D7190" s="10" t="s">
        <v>6904</v>
      </c>
      <c r="E7190" s="10" t="str">
        <f>"644020240513234347177612"</f>
        <v>644020240513234347177612</v>
      </c>
      <c r="F7190" s="9"/>
    </row>
    <row r="7191" s="2" customFormat="1" ht="30" customHeight="1" spans="1:6">
      <c r="A7191" s="9">
        <v>7188</v>
      </c>
      <c r="B7191" s="10" t="s">
        <v>6843</v>
      </c>
      <c r="C7191" s="10" t="s">
        <v>6844</v>
      </c>
      <c r="D7191" s="10" t="s">
        <v>6905</v>
      </c>
      <c r="E7191" s="10" t="str">
        <f>"644020240514085907177951"</f>
        <v>644020240514085907177951</v>
      </c>
      <c r="F7191" s="9"/>
    </row>
    <row r="7192" s="2" customFormat="1" ht="30" customHeight="1" spans="1:6">
      <c r="A7192" s="9">
        <v>7189</v>
      </c>
      <c r="B7192" s="10" t="s">
        <v>6843</v>
      </c>
      <c r="C7192" s="10" t="s">
        <v>6844</v>
      </c>
      <c r="D7192" s="10" t="s">
        <v>6906</v>
      </c>
      <c r="E7192" s="10" t="str">
        <f>"644020240514090906178011"</f>
        <v>644020240514090906178011</v>
      </c>
      <c r="F7192" s="9"/>
    </row>
    <row r="7193" s="2" customFormat="1" ht="30" customHeight="1" spans="1:6">
      <c r="A7193" s="9">
        <v>7190</v>
      </c>
      <c r="B7193" s="10" t="s">
        <v>6843</v>
      </c>
      <c r="C7193" s="10" t="s">
        <v>6844</v>
      </c>
      <c r="D7193" s="10" t="s">
        <v>6907</v>
      </c>
      <c r="E7193" s="10" t="str">
        <f>"644020240513073924172159"</f>
        <v>644020240513073924172159</v>
      </c>
      <c r="F7193" s="9"/>
    </row>
    <row r="7194" s="2" customFormat="1" ht="30" customHeight="1" spans="1:6">
      <c r="A7194" s="9">
        <v>7191</v>
      </c>
      <c r="B7194" s="10" t="s">
        <v>6843</v>
      </c>
      <c r="C7194" s="10" t="s">
        <v>6844</v>
      </c>
      <c r="D7194" s="10" t="s">
        <v>6908</v>
      </c>
      <c r="E7194" s="10" t="str">
        <f>"644020240514091557178045"</f>
        <v>644020240514091557178045</v>
      </c>
      <c r="F7194" s="9"/>
    </row>
    <row r="7195" s="2" customFormat="1" ht="30" customHeight="1" spans="1:6">
      <c r="A7195" s="9">
        <v>7192</v>
      </c>
      <c r="B7195" s="10" t="s">
        <v>6843</v>
      </c>
      <c r="C7195" s="10" t="s">
        <v>6844</v>
      </c>
      <c r="D7195" s="10" t="s">
        <v>6909</v>
      </c>
      <c r="E7195" s="10" t="str">
        <f>"644020240514090756178003"</f>
        <v>644020240514090756178003</v>
      </c>
      <c r="F7195" s="9"/>
    </row>
    <row r="7196" s="2" customFormat="1" ht="30" customHeight="1" spans="1:6">
      <c r="A7196" s="9">
        <v>7193</v>
      </c>
      <c r="B7196" s="10" t="s">
        <v>6843</v>
      </c>
      <c r="C7196" s="10" t="s">
        <v>6844</v>
      </c>
      <c r="D7196" s="10" t="s">
        <v>6910</v>
      </c>
      <c r="E7196" s="10" t="str">
        <f>"644020240514093636178142"</f>
        <v>644020240514093636178142</v>
      </c>
      <c r="F7196" s="9"/>
    </row>
    <row r="7197" s="2" customFormat="1" ht="30" customHeight="1" spans="1:6">
      <c r="A7197" s="9">
        <v>7194</v>
      </c>
      <c r="B7197" s="10" t="s">
        <v>6843</v>
      </c>
      <c r="C7197" s="10" t="s">
        <v>6844</v>
      </c>
      <c r="D7197" s="10" t="s">
        <v>4983</v>
      </c>
      <c r="E7197" s="10" t="str">
        <f>"644020240513155206175706"</f>
        <v>644020240513155206175706</v>
      </c>
      <c r="F7197" s="9"/>
    </row>
    <row r="7198" s="2" customFormat="1" ht="30" customHeight="1" spans="1:6">
      <c r="A7198" s="9">
        <v>7195</v>
      </c>
      <c r="B7198" s="10" t="s">
        <v>6843</v>
      </c>
      <c r="C7198" s="10" t="s">
        <v>6844</v>
      </c>
      <c r="D7198" s="10" t="s">
        <v>703</v>
      </c>
      <c r="E7198" s="10" t="str">
        <f>"644020240514091348178034"</f>
        <v>644020240514091348178034</v>
      </c>
      <c r="F7198" s="9"/>
    </row>
    <row r="7199" s="2" customFormat="1" ht="30" customHeight="1" spans="1:6">
      <c r="A7199" s="9">
        <v>7196</v>
      </c>
      <c r="B7199" s="10" t="s">
        <v>6843</v>
      </c>
      <c r="C7199" s="10" t="s">
        <v>6844</v>
      </c>
      <c r="D7199" s="10" t="s">
        <v>4018</v>
      </c>
      <c r="E7199" s="10" t="str">
        <f>"644020240514085830177948"</f>
        <v>644020240514085830177948</v>
      </c>
      <c r="F7199" s="9"/>
    </row>
    <row r="7200" s="2" customFormat="1" ht="30" customHeight="1" spans="1:6">
      <c r="A7200" s="9">
        <v>7197</v>
      </c>
      <c r="B7200" s="10" t="s">
        <v>6843</v>
      </c>
      <c r="C7200" s="10" t="s">
        <v>6844</v>
      </c>
      <c r="D7200" s="10" t="s">
        <v>6911</v>
      </c>
      <c r="E7200" s="10" t="str">
        <f>"644020240513170444176116"</f>
        <v>644020240513170444176116</v>
      </c>
      <c r="F7200" s="9"/>
    </row>
    <row r="7201" s="2" customFormat="1" ht="30" customHeight="1" spans="1:6">
      <c r="A7201" s="9">
        <v>7198</v>
      </c>
      <c r="B7201" s="10" t="s">
        <v>6843</v>
      </c>
      <c r="C7201" s="10" t="s">
        <v>6844</v>
      </c>
      <c r="D7201" s="10" t="s">
        <v>6912</v>
      </c>
      <c r="E7201" s="10" t="str">
        <f>"644020240512163922170038"</f>
        <v>644020240512163922170038</v>
      </c>
      <c r="F7201" s="9"/>
    </row>
    <row r="7202" s="2" customFormat="1" ht="30" customHeight="1" spans="1:6">
      <c r="A7202" s="9">
        <v>7199</v>
      </c>
      <c r="B7202" s="10" t="s">
        <v>6843</v>
      </c>
      <c r="C7202" s="10" t="s">
        <v>6844</v>
      </c>
      <c r="D7202" s="10" t="s">
        <v>6913</v>
      </c>
      <c r="E7202" s="10" t="str">
        <f>"644020240514112802178710"</f>
        <v>644020240514112802178710</v>
      </c>
      <c r="F7202" s="9"/>
    </row>
    <row r="7203" s="2" customFormat="1" ht="30" customHeight="1" spans="1:6">
      <c r="A7203" s="9">
        <v>7200</v>
      </c>
      <c r="B7203" s="10" t="s">
        <v>6843</v>
      </c>
      <c r="C7203" s="10" t="s">
        <v>6844</v>
      </c>
      <c r="D7203" s="10" t="s">
        <v>6914</v>
      </c>
      <c r="E7203" s="10" t="str">
        <f>"644020240513114342174053"</f>
        <v>644020240513114342174053</v>
      </c>
      <c r="F7203" s="9"/>
    </row>
    <row r="7204" s="2" customFormat="1" ht="30" customHeight="1" spans="1:6">
      <c r="A7204" s="9">
        <v>7201</v>
      </c>
      <c r="B7204" s="10" t="s">
        <v>6843</v>
      </c>
      <c r="C7204" s="10" t="s">
        <v>6844</v>
      </c>
      <c r="D7204" s="10" t="s">
        <v>6915</v>
      </c>
      <c r="E7204" s="10" t="str">
        <f>"644020240513093918172899"</f>
        <v>644020240513093918172899</v>
      </c>
      <c r="F7204" s="9"/>
    </row>
    <row r="7205" s="2" customFormat="1" ht="30" customHeight="1" spans="1:6">
      <c r="A7205" s="9">
        <v>7202</v>
      </c>
      <c r="B7205" s="10" t="s">
        <v>6843</v>
      </c>
      <c r="C7205" s="10" t="s">
        <v>6844</v>
      </c>
      <c r="D7205" s="10" t="s">
        <v>6916</v>
      </c>
      <c r="E7205" s="10" t="str">
        <f>"644020240514135241179061"</f>
        <v>644020240514135241179061</v>
      </c>
      <c r="F7205" s="9"/>
    </row>
    <row r="7206" s="2" customFormat="1" ht="30" customHeight="1" spans="1:6">
      <c r="A7206" s="9">
        <v>7203</v>
      </c>
      <c r="B7206" s="10" t="s">
        <v>6843</v>
      </c>
      <c r="C7206" s="10" t="s">
        <v>6844</v>
      </c>
      <c r="D7206" s="10" t="s">
        <v>6917</v>
      </c>
      <c r="E7206" s="10" t="str">
        <f>"644020240514142705179126"</f>
        <v>644020240514142705179126</v>
      </c>
      <c r="F7206" s="9"/>
    </row>
    <row r="7207" s="2" customFormat="1" ht="30" customHeight="1" spans="1:6">
      <c r="A7207" s="9">
        <v>7204</v>
      </c>
      <c r="B7207" s="10" t="s">
        <v>6843</v>
      </c>
      <c r="C7207" s="10" t="s">
        <v>6844</v>
      </c>
      <c r="D7207" s="10" t="s">
        <v>6918</v>
      </c>
      <c r="E7207" s="10" t="str">
        <f>"644020240514113008178721"</f>
        <v>644020240514113008178721</v>
      </c>
      <c r="F7207" s="9"/>
    </row>
    <row r="7208" s="2" customFormat="1" ht="30" customHeight="1" spans="1:6">
      <c r="A7208" s="9">
        <v>7205</v>
      </c>
      <c r="B7208" s="10" t="s">
        <v>6843</v>
      </c>
      <c r="C7208" s="10" t="s">
        <v>6844</v>
      </c>
      <c r="D7208" s="10" t="s">
        <v>6919</v>
      </c>
      <c r="E7208" s="10" t="str">
        <f>"644020240513160410175807"</f>
        <v>644020240513160410175807</v>
      </c>
      <c r="F7208" s="9"/>
    </row>
    <row r="7209" s="2" customFormat="1" ht="30" customHeight="1" spans="1:6">
      <c r="A7209" s="9">
        <v>7206</v>
      </c>
      <c r="B7209" s="10" t="s">
        <v>6843</v>
      </c>
      <c r="C7209" s="10" t="s">
        <v>6844</v>
      </c>
      <c r="D7209" s="10" t="s">
        <v>6920</v>
      </c>
      <c r="E7209" s="10" t="str">
        <f>"644020240514154037179340"</f>
        <v>644020240514154037179340</v>
      </c>
      <c r="F7209" s="9"/>
    </row>
    <row r="7210" s="2" customFormat="1" ht="30" customHeight="1" spans="1:6">
      <c r="A7210" s="9">
        <v>7207</v>
      </c>
      <c r="B7210" s="10" t="s">
        <v>6843</v>
      </c>
      <c r="C7210" s="10" t="s">
        <v>6844</v>
      </c>
      <c r="D7210" s="10" t="s">
        <v>6921</v>
      </c>
      <c r="E7210" s="10" t="str">
        <f>"644020240514161526179448"</f>
        <v>644020240514161526179448</v>
      </c>
      <c r="F7210" s="9"/>
    </row>
    <row r="7211" s="2" customFormat="1" ht="30" customHeight="1" spans="1:6">
      <c r="A7211" s="9">
        <v>7208</v>
      </c>
      <c r="B7211" s="10" t="s">
        <v>6843</v>
      </c>
      <c r="C7211" s="10" t="s">
        <v>6844</v>
      </c>
      <c r="D7211" s="10" t="s">
        <v>135</v>
      </c>
      <c r="E7211" s="10" t="str">
        <f>"644020240513155225175711"</f>
        <v>644020240513155225175711</v>
      </c>
      <c r="F7211" s="9"/>
    </row>
    <row r="7212" s="2" customFormat="1" ht="30" customHeight="1" spans="1:6">
      <c r="A7212" s="9">
        <v>7209</v>
      </c>
      <c r="B7212" s="10" t="s">
        <v>6843</v>
      </c>
      <c r="C7212" s="10" t="s">
        <v>6844</v>
      </c>
      <c r="D7212" s="10" t="s">
        <v>6922</v>
      </c>
      <c r="E7212" s="10" t="str">
        <f>"644020240514162522179484"</f>
        <v>644020240514162522179484</v>
      </c>
      <c r="F7212" s="9"/>
    </row>
    <row r="7213" s="2" customFormat="1" ht="30" customHeight="1" spans="1:6">
      <c r="A7213" s="9">
        <v>7210</v>
      </c>
      <c r="B7213" s="10" t="s">
        <v>6843</v>
      </c>
      <c r="C7213" s="10" t="s">
        <v>6844</v>
      </c>
      <c r="D7213" s="10" t="s">
        <v>6923</v>
      </c>
      <c r="E7213" s="10" t="str">
        <f>"644020240512222233171449"</f>
        <v>644020240512222233171449</v>
      </c>
      <c r="F7213" s="9"/>
    </row>
    <row r="7214" s="2" customFormat="1" ht="30" customHeight="1" spans="1:6">
      <c r="A7214" s="9">
        <v>7211</v>
      </c>
      <c r="B7214" s="10" t="s">
        <v>6843</v>
      </c>
      <c r="C7214" s="10" t="s">
        <v>6844</v>
      </c>
      <c r="D7214" s="10" t="s">
        <v>6924</v>
      </c>
      <c r="E7214" s="10" t="str">
        <f>"644020240514135050179056"</f>
        <v>644020240514135050179056</v>
      </c>
      <c r="F7214" s="9"/>
    </row>
    <row r="7215" s="2" customFormat="1" ht="30" customHeight="1" spans="1:6">
      <c r="A7215" s="9">
        <v>7212</v>
      </c>
      <c r="B7215" s="10" t="s">
        <v>6843</v>
      </c>
      <c r="C7215" s="10" t="s">
        <v>6844</v>
      </c>
      <c r="D7215" s="10" t="s">
        <v>6925</v>
      </c>
      <c r="E7215" s="10" t="str">
        <f>"644020240513235726177635"</f>
        <v>644020240513235726177635</v>
      </c>
      <c r="F7215" s="9"/>
    </row>
    <row r="7216" s="2" customFormat="1" ht="30" customHeight="1" spans="1:6">
      <c r="A7216" s="9">
        <v>7213</v>
      </c>
      <c r="B7216" s="10" t="s">
        <v>6843</v>
      </c>
      <c r="C7216" s="10" t="s">
        <v>6844</v>
      </c>
      <c r="D7216" s="10" t="s">
        <v>6926</v>
      </c>
      <c r="E7216" s="10" t="str">
        <f>"644020240512221922171430"</f>
        <v>644020240512221922171430</v>
      </c>
      <c r="F7216" s="9"/>
    </row>
    <row r="7217" s="2" customFormat="1" ht="30" customHeight="1" spans="1:6">
      <c r="A7217" s="9">
        <v>7214</v>
      </c>
      <c r="B7217" s="10" t="s">
        <v>6843</v>
      </c>
      <c r="C7217" s="10" t="s">
        <v>6844</v>
      </c>
      <c r="D7217" s="10" t="s">
        <v>6927</v>
      </c>
      <c r="E7217" s="10" t="str">
        <f>"644020240514172804179704"</f>
        <v>644020240514172804179704</v>
      </c>
      <c r="F7217" s="9"/>
    </row>
    <row r="7218" s="2" customFormat="1" ht="30" customHeight="1" spans="1:6">
      <c r="A7218" s="9">
        <v>7215</v>
      </c>
      <c r="B7218" s="10" t="s">
        <v>6843</v>
      </c>
      <c r="C7218" s="10" t="s">
        <v>6844</v>
      </c>
      <c r="D7218" s="10" t="s">
        <v>6928</v>
      </c>
      <c r="E7218" s="10" t="str">
        <f>"644020240514171236179656"</f>
        <v>644020240514171236179656</v>
      </c>
      <c r="F7218" s="9"/>
    </row>
    <row r="7219" s="2" customFormat="1" ht="30" customHeight="1" spans="1:6">
      <c r="A7219" s="9">
        <v>7216</v>
      </c>
      <c r="B7219" s="10" t="s">
        <v>6843</v>
      </c>
      <c r="C7219" s="10" t="s">
        <v>6844</v>
      </c>
      <c r="D7219" s="10" t="s">
        <v>4237</v>
      </c>
      <c r="E7219" s="10" t="str">
        <f>"644020240514184306179851"</f>
        <v>644020240514184306179851</v>
      </c>
      <c r="F7219" s="9"/>
    </row>
    <row r="7220" s="2" customFormat="1" ht="30" customHeight="1" spans="1:6">
      <c r="A7220" s="9">
        <v>7217</v>
      </c>
      <c r="B7220" s="10" t="s">
        <v>6843</v>
      </c>
      <c r="C7220" s="10" t="s">
        <v>6844</v>
      </c>
      <c r="D7220" s="10" t="s">
        <v>6929</v>
      </c>
      <c r="E7220" s="10" t="str">
        <f>"644020240514201438180013"</f>
        <v>644020240514201438180013</v>
      </c>
      <c r="F7220" s="9"/>
    </row>
    <row r="7221" s="2" customFormat="1" ht="30" customHeight="1" spans="1:6">
      <c r="A7221" s="9">
        <v>7218</v>
      </c>
      <c r="B7221" s="10" t="s">
        <v>6843</v>
      </c>
      <c r="C7221" s="10" t="s">
        <v>6844</v>
      </c>
      <c r="D7221" s="10" t="s">
        <v>6930</v>
      </c>
      <c r="E7221" s="10" t="str">
        <f>"644020240514204155180050"</f>
        <v>644020240514204155180050</v>
      </c>
      <c r="F7221" s="9"/>
    </row>
    <row r="7222" s="2" customFormat="1" ht="30" customHeight="1" spans="1:6">
      <c r="A7222" s="9">
        <v>7219</v>
      </c>
      <c r="B7222" s="10" t="s">
        <v>6843</v>
      </c>
      <c r="C7222" s="10" t="s">
        <v>6844</v>
      </c>
      <c r="D7222" s="10" t="s">
        <v>6931</v>
      </c>
      <c r="E7222" s="10" t="str">
        <f>"644020240512210834171031"</f>
        <v>644020240512210834171031</v>
      </c>
      <c r="F7222" s="9"/>
    </row>
    <row r="7223" s="2" customFormat="1" ht="30" customHeight="1" spans="1:6">
      <c r="A7223" s="9">
        <v>7220</v>
      </c>
      <c r="B7223" s="10" t="s">
        <v>6843</v>
      </c>
      <c r="C7223" s="10" t="s">
        <v>6844</v>
      </c>
      <c r="D7223" s="10" t="s">
        <v>6932</v>
      </c>
      <c r="E7223" s="10" t="str">
        <f>"644020240513205320176933"</f>
        <v>644020240513205320176933</v>
      </c>
      <c r="F7223" s="9"/>
    </row>
    <row r="7224" s="2" customFormat="1" ht="30" customHeight="1" spans="1:6">
      <c r="A7224" s="9">
        <v>7221</v>
      </c>
      <c r="B7224" s="10" t="s">
        <v>6843</v>
      </c>
      <c r="C7224" s="10" t="s">
        <v>6844</v>
      </c>
      <c r="D7224" s="10" t="s">
        <v>6933</v>
      </c>
      <c r="E7224" s="10" t="str">
        <f>"644020240513215507177198"</f>
        <v>644020240513215507177198</v>
      </c>
      <c r="F7224" s="9"/>
    </row>
    <row r="7225" s="2" customFormat="1" ht="30" customHeight="1" spans="1:6">
      <c r="A7225" s="9">
        <v>7222</v>
      </c>
      <c r="B7225" s="10" t="s">
        <v>6843</v>
      </c>
      <c r="C7225" s="10" t="s">
        <v>6844</v>
      </c>
      <c r="D7225" s="10" t="s">
        <v>6934</v>
      </c>
      <c r="E7225" s="10" t="str">
        <f>"644020240512183753170426"</f>
        <v>644020240512183753170426</v>
      </c>
      <c r="F7225" s="9"/>
    </row>
    <row r="7226" s="2" customFormat="1" ht="30" customHeight="1" spans="1:6">
      <c r="A7226" s="9">
        <v>7223</v>
      </c>
      <c r="B7226" s="10" t="s">
        <v>6843</v>
      </c>
      <c r="C7226" s="10" t="s">
        <v>6844</v>
      </c>
      <c r="D7226" s="10" t="s">
        <v>6935</v>
      </c>
      <c r="E7226" s="10" t="str">
        <f>"644020240514221522180338"</f>
        <v>644020240514221522180338</v>
      </c>
      <c r="F7226" s="9"/>
    </row>
    <row r="7227" s="2" customFormat="1" ht="30" customHeight="1" spans="1:6">
      <c r="A7227" s="9">
        <v>7224</v>
      </c>
      <c r="B7227" s="10" t="s">
        <v>6843</v>
      </c>
      <c r="C7227" s="10" t="s">
        <v>6844</v>
      </c>
      <c r="D7227" s="10" t="s">
        <v>6011</v>
      </c>
      <c r="E7227" s="10" t="str">
        <f>"644020240514214653180252"</f>
        <v>644020240514214653180252</v>
      </c>
      <c r="F7227" s="9"/>
    </row>
    <row r="7228" s="2" customFormat="1" ht="30" customHeight="1" spans="1:6">
      <c r="A7228" s="9">
        <v>7225</v>
      </c>
      <c r="B7228" s="10" t="s">
        <v>6843</v>
      </c>
      <c r="C7228" s="10" t="s">
        <v>6844</v>
      </c>
      <c r="D7228" s="10" t="s">
        <v>6936</v>
      </c>
      <c r="E7228" s="10" t="str">
        <f>"644020240513225013177453"</f>
        <v>644020240513225013177453</v>
      </c>
      <c r="F7228" s="9"/>
    </row>
    <row r="7229" s="2" customFormat="1" ht="30" customHeight="1" spans="1:6">
      <c r="A7229" s="9">
        <v>7226</v>
      </c>
      <c r="B7229" s="10" t="s">
        <v>6843</v>
      </c>
      <c r="C7229" s="10" t="s">
        <v>6844</v>
      </c>
      <c r="D7229" s="10" t="s">
        <v>6937</v>
      </c>
      <c r="E7229" s="10" t="str">
        <f>"644020240513211313177013"</f>
        <v>644020240513211313177013</v>
      </c>
      <c r="F7229" s="9"/>
    </row>
    <row r="7230" s="2" customFormat="1" ht="30" customHeight="1" spans="1:6">
      <c r="A7230" s="9">
        <v>7227</v>
      </c>
      <c r="B7230" s="10" t="s">
        <v>6843</v>
      </c>
      <c r="C7230" s="10" t="s">
        <v>6844</v>
      </c>
      <c r="D7230" s="10" t="s">
        <v>3428</v>
      </c>
      <c r="E7230" s="10" t="str">
        <f>"644020240513200158176729"</f>
        <v>644020240513200158176729</v>
      </c>
      <c r="F7230" s="9"/>
    </row>
    <row r="7231" s="2" customFormat="1" ht="30" customHeight="1" spans="1:6">
      <c r="A7231" s="9">
        <v>7228</v>
      </c>
      <c r="B7231" s="10" t="s">
        <v>6843</v>
      </c>
      <c r="C7231" s="10" t="s">
        <v>6844</v>
      </c>
      <c r="D7231" s="10" t="s">
        <v>6938</v>
      </c>
      <c r="E7231" s="10" t="str">
        <f>"644020240512223218171511"</f>
        <v>644020240512223218171511</v>
      </c>
      <c r="F7231" s="9"/>
    </row>
    <row r="7232" s="2" customFormat="1" ht="30" customHeight="1" spans="1:6">
      <c r="A7232" s="9">
        <v>7229</v>
      </c>
      <c r="B7232" s="10" t="s">
        <v>6843</v>
      </c>
      <c r="C7232" s="10" t="s">
        <v>6844</v>
      </c>
      <c r="D7232" s="10" t="s">
        <v>6939</v>
      </c>
      <c r="E7232" s="10" t="str">
        <f>"644020240515004158180607"</f>
        <v>644020240515004158180607</v>
      </c>
      <c r="F7232" s="9"/>
    </row>
    <row r="7233" s="2" customFormat="1" ht="30" customHeight="1" spans="1:6">
      <c r="A7233" s="9">
        <v>7230</v>
      </c>
      <c r="B7233" s="10" t="s">
        <v>6843</v>
      </c>
      <c r="C7233" s="10" t="s">
        <v>6844</v>
      </c>
      <c r="D7233" s="10" t="s">
        <v>6940</v>
      </c>
      <c r="E7233" s="10" t="str">
        <f>"644020240513103942173500"</f>
        <v>644020240513103942173500</v>
      </c>
      <c r="F7233" s="9"/>
    </row>
    <row r="7234" s="2" customFormat="1" ht="30" customHeight="1" spans="1:6">
      <c r="A7234" s="9">
        <v>7231</v>
      </c>
      <c r="B7234" s="10" t="s">
        <v>6843</v>
      </c>
      <c r="C7234" s="10" t="s">
        <v>6844</v>
      </c>
      <c r="D7234" s="10" t="s">
        <v>6941</v>
      </c>
      <c r="E7234" s="10" t="str">
        <f>"644020240514175643179768"</f>
        <v>644020240514175643179768</v>
      </c>
      <c r="F7234" s="9"/>
    </row>
    <row r="7235" s="2" customFormat="1" ht="30" customHeight="1" spans="1:6">
      <c r="A7235" s="9">
        <v>7232</v>
      </c>
      <c r="B7235" s="10" t="s">
        <v>6843</v>
      </c>
      <c r="C7235" s="10" t="s">
        <v>6844</v>
      </c>
      <c r="D7235" s="10" t="s">
        <v>6942</v>
      </c>
      <c r="E7235" s="10" t="str">
        <f>"644020240514083401177865"</f>
        <v>644020240514083401177865</v>
      </c>
      <c r="F7235" s="9"/>
    </row>
    <row r="7236" s="2" customFormat="1" ht="30" customHeight="1" spans="1:6">
      <c r="A7236" s="9">
        <v>7233</v>
      </c>
      <c r="B7236" s="10" t="s">
        <v>6843</v>
      </c>
      <c r="C7236" s="10" t="s">
        <v>6844</v>
      </c>
      <c r="D7236" s="10" t="s">
        <v>6943</v>
      </c>
      <c r="E7236" s="10" t="str">
        <f>"644020240515085553180753"</f>
        <v>644020240515085553180753</v>
      </c>
      <c r="F7236" s="9"/>
    </row>
    <row r="7237" s="2" customFormat="1" ht="30" customHeight="1" spans="1:6">
      <c r="A7237" s="9">
        <v>7234</v>
      </c>
      <c r="B7237" s="10" t="s">
        <v>6843</v>
      </c>
      <c r="C7237" s="10" t="s">
        <v>6844</v>
      </c>
      <c r="D7237" s="10" t="s">
        <v>6944</v>
      </c>
      <c r="E7237" s="10" t="str">
        <f>"644020240513114235174046"</f>
        <v>644020240513114235174046</v>
      </c>
      <c r="F7237" s="9"/>
    </row>
    <row r="7238" s="2" customFormat="1" ht="30" customHeight="1" spans="1:6">
      <c r="A7238" s="9">
        <v>7235</v>
      </c>
      <c r="B7238" s="10" t="s">
        <v>6843</v>
      </c>
      <c r="C7238" s="10" t="s">
        <v>6844</v>
      </c>
      <c r="D7238" s="10" t="s">
        <v>6945</v>
      </c>
      <c r="E7238" s="10" t="str">
        <f>"644020240515092541180843"</f>
        <v>644020240515092541180843</v>
      </c>
      <c r="F7238" s="9"/>
    </row>
    <row r="7239" s="2" customFormat="1" ht="30" customHeight="1" spans="1:6">
      <c r="A7239" s="9">
        <v>7236</v>
      </c>
      <c r="B7239" s="10" t="s">
        <v>6843</v>
      </c>
      <c r="C7239" s="10" t="s">
        <v>6844</v>
      </c>
      <c r="D7239" s="10" t="s">
        <v>6946</v>
      </c>
      <c r="E7239" s="10" t="str">
        <f>"644020240515092636180844"</f>
        <v>644020240515092636180844</v>
      </c>
      <c r="F7239" s="9"/>
    </row>
    <row r="7240" s="2" customFormat="1" ht="30" customHeight="1" spans="1:6">
      <c r="A7240" s="9">
        <v>7237</v>
      </c>
      <c r="B7240" s="10" t="s">
        <v>6843</v>
      </c>
      <c r="C7240" s="10" t="s">
        <v>6844</v>
      </c>
      <c r="D7240" s="10" t="s">
        <v>4170</v>
      </c>
      <c r="E7240" s="10" t="str">
        <f>"644020240515102833181043"</f>
        <v>644020240515102833181043</v>
      </c>
      <c r="F7240" s="9"/>
    </row>
    <row r="7241" s="2" customFormat="1" ht="30" customHeight="1" spans="1:6">
      <c r="A7241" s="9">
        <v>7238</v>
      </c>
      <c r="B7241" s="10" t="s">
        <v>6843</v>
      </c>
      <c r="C7241" s="10" t="s">
        <v>6844</v>
      </c>
      <c r="D7241" s="10" t="s">
        <v>2622</v>
      </c>
      <c r="E7241" s="10" t="str">
        <f>"644020240515105218181119"</f>
        <v>644020240515105218181119</v>
      </c>
      <c r="F7241" s="9"/>
    </row>
    <row r="7242" s="2" customFormat="1" ht="30" customHeight="1" spans="1:6">
      <c r="A7242" s="9">
        <v>7239</v>
      </c>
      <c r="B7242" s="10" t="s">
        <v>6843</v>
      </c>
      <c r="C7242" s="10" t="s">
        <v>6844</v>
      </c>
      <c r="D7242" s="10" t="s">
        <v>6947</v>
      </c>
      <c r="E7242" s="10" t="str">
        <f>"644020240515105305181122"</f>
        <v>644020240515105305181122</v>
      </c>
      <c r="F7242" s="9"/>
    </row>
    <row r="7243" s="2" customFormat="1" ht="30" customHeight="1" spans="1:6">
      <c r="A7243" s="9">
        <v>7240</v>
      </c>
      <c r="B7243" s="10" t="s">
        <v>6843</v>
      </c>
      <c r="C7243" s="10" t="s">
        <v>6844</v>
      </c>
      <c r="D7243" s="10" t="s">
        <v>6948</v>
      </c>
      <c r="E7243" s="10" t="str">
        <f>"644020240514171610179672"</f>
        <v>644020240514171610179672</v>
      </c>
      <c r="F7243" s="9"/>
    </row>
    <row r="7244" s="2" customFormat="1" ht="30" customHeight="1" spans="1:6">
      <c r="A7244" s="9">
        <v>7241</v>
      </c>
      <c r="B7244" s="10" t="s">
        <v>6843</v>
      </c>
      <c r="C7244" s="10" t="s">
        <v>6844</v>
      </c>
      <c r="D7244" s="10" t="s">
        <v>6949</v>
      </c>
      <c r="E7244" s="10" t="str">
        <f>"644020240514210158180116"</f>
        <v>644020240514210158180116</v>
      </c>
      <c r="F7244" s="9"/>
    </row>
    <row r="7245" s="2" customFormat="1" ht="30" customHeight="1" spans="1:6">
      <c r="A7245" s="9">
        <v>7242</v>
      </c>
      <c r="B7245" s="10" t="s">
        <v>6843</v>
      </c>
      <c r="C7245" s="10" t="s">
        <v>6844</v>
      </c>
      <c r="D7245" s="10" t="s">
        <v>6950</v>
      </c>
      <c r="E7245" s="10" t="str">
        <f>"644020240514104413178520"</f>
        <v>644020240514104413178520</v>
      </c>
      <c r="F7245" s="9"/>
    </row>
    <row r="7246" s="2" customFormat="1" ht="30" customHeight="1" spans="1:6">
      <c r="A7246" s="9">
        <v>7243</v>
      </c>
      <c r="B7246" s="10" t="s">
        <v>6843</v>
      </c>
      <c r="C7246" s="10" t="s">
        <v>6844</v>
      </c>
      <c r="D7246" s="10" t="s">
        <v>6951</v>
      </c>
      <c r="E7246" s="10" t="str">
        <f>"644020240514123424178904"</f>
        <v>644020240514123424178904</v>
      </c>
      <c r="F7246" s="9"/>
    </row>
    <row r="7247" s="2" customFormat="1" ht="30" customHeight="1" spans="1:6">
      <c r="A7247" s="9">
        <v>7244</v>
      </c>
      <c r="B7247" s="10" t="s">
        <v>6843</v>
      </c>
      <c r="C7247" s="10" t="s">
        <v>6844</v>
      </c>
      <c r="D7247" s="10" t="s">
        <v>6952</v>
      </c>
      <c r="E7247" s="10" t="str">
        <f>"644020240515114531181285"</f>
        <v>644020240515114531181285</v>
      </c>
      <c r="F7247" s="9"/>
    </row>
    <row r="7248" s="2" customFormat="1" ht="30" customHeight="1" spans="1:6">
      <c r="A7248" s="9">
        <v>7245</v>
      </c>
      <c r="B7248" s="10" t="s">
        <v>6843</v>
      </c>
      <c r="C7248" s="10" t="s">
        <v>6844</v>
      </c>
      <c r="D7248" s="10" t="s">
        <v>6953</v>
      </c>
      <c r="E7248" s="10" t="str">
        <f>"644020240512100229168402"</f>
        <v>644020240512100229168402</v>
      </c>
      <c r="F7248" s="9"/>
    </row>
    <row r="7249" s="2" customFormat="1" ht="30" customHeight="1" spans="1:6">
      <c r="A7249" s="9">
        <v>7246</v>
      </c>
      <c r="B7249" s="10" t="s">
        <v>6843</v>
      </c>
      <c r="C7249" s="10" t="s">
        <v>6844</v>
      </c>
      <c r="D7249" s="10" t="s">
        <v>6954</v>
      </c>
      <c r="E7249" s="10" t="str">
        <f>"644020240513093135172815"</f>
        <v>644020240513093135172815</v>
      </c>
      <c r="F7249" s="9"/>
    </row>
    <row r="7250" s="2" customFormat="1" ht="30" customHeight="1" spans="1:6">
      <c r="A7250" s="9">
        <v>7247</v>
      </c>
      <c r="B7250" s="10" t="s">
        <v>6843</v>
      </c>
      <c r="C7250" s="10" t="s">
        <v>6844</v>
      </c>
      <c r="D7250" s="10" t="s">
        <v>6955</v>
      </c>
      <c r="E7250" s="10" t="str">
        <f>"644020240515120951181342"</f>
        <v>644020240515120951181342</v>
      </c>
      <c r="F7250" s="9"/>
    </row>
    <row r="7251" s="2" customFormat="1" ht="30" customHeight="1" spans="1:6">
      <c r="A7251" s="9">
        <v>7248</v>
      </c>
      <c r="B7251" s="10" t="s">
        <v>6843</v>
      </c>
      <c r="C7251" s="10" t="s">
        <v>6844</v>
      </c>
      <c r="D7251" s="10" t="s">
        <v>6956</v>
      </c>
      <c r="E7251" s="10" t="str">
        <f>"644020240512134049169404"</f>
        <v>644020240512134049169404</v>
      </c>
      <c r="F7251" s="9"/>
    </row>
    <row r="7252" s="2" customFormat="1" ht="30" customHeight="1" spans="1:6">
      <c r="A7252" s="9">
        <v>7249</v>
      </c>
      <c r="B7252" s="10" t="s">
        <v>6843</v>
      </c>
      <c r="C7252" s="10" t="s">
        <v>6844</v>
      </c>
      <c r="D7252" s="10" t="s">
        <v>6957</v>
      </c>
      <c r="E7252" s="10" t="str">
        <f>"644020240515104337181089"</f>
        <v>644020240515104337181089</v>
      </c>
      <c r="F7252" s="9"/>
    </row>
    <row r="7253" s="2" customFormat="1" ht="30" customHeight="1" spans="1:6">
      <c r="A7253" s="9">
        <v>7250</v>
      </c>
      <c r="B7253" s="10" t="s">
        <v>6843</v>
      </c>
      <c r="C7253" s="10" t="s">
        <v>6844</v>
      </c>
      <c r="D7253" s="10" t="s">
        <v>6958</v>
      </c>
      <c r="E7253" s="10" t="str">
        <f>"644020240515153913181717"</f>
        <v>644020240515153913181717</v>
      </c>
      <c r="F7253" s="9"/>
    </row>
    <row r="7254" s="2" customFormat="1" ht="30" customHeight="1" spans="1:6">
      <c r="A7254" s="9">
        <v>7251</v>
      </c>
      <c r="B7254" s="10" t="s">
        <v>6843</v>
      </c>
      <c r="C7254" s="10" t="s">
        <v>6844</v>
      </c>
      <c r="D7254" s="10" t="s">
        <v>6959</v>
      </c>
      <c r="E7254" s="10" t="str">
        <f>"644020240515095207180920"</f>
        <v>644020240515095207180920</v>
      </c>
      <c r="F7254" s="9"/>
    </row>
    <row r="7255" s="2" customFormat="1" ht="30" customHeight="1" spans="1:6">
      <c r="A7255" s="9">
        <v>7252</v>
      </c>
      <c r="B7255" s="10" t="s">
        <v>6843</v>
      </c>
      <c r="C7255" s="10" t="s">
        <v>6844</v>
      </c>
      <c r="D7255" s="10" t="s">
        <v>6960</v>
      </c>
      <c r="E7255" s="10" t="str">
        <f>"644020240515162203181836"</f>
        <v>644020240515162203181836</v>
      </c>
      <c r="F7255" s="9"/>
    </row>
    <row r="7256" s="2" customFormat="1" ht="30" customHeight="1" spans="1:6">
      <c r="A7256" s="9">
        <v>7253</v>
      </c>
      <c r="B7256" s="10" t="s">
        <v>6843</v>
      </c>
      <c r="C7256" s="10" t="s">
        <v>6844</v>
      </c>
      <c r="D7256" s="10" t="s">
        <v>6961</v>
      </c>
      <c r="E7256" s="10" t="str">
        <f>"644020240515142824181561"</f>
        <v>644020240515142824181561</v>
      </c>
      <c r="F7256" s="9"/>
    </row>
    <row r="7257" s="2" customFormat="1" ht="30" customHeight="1" spans="1:6">
      <c r="A7257" s="9">
        <v>7254</v>
      </c>
      <c r="B7257" s="10" t="s">
        <v>6843</v>
      </c>
      <c r="C7257" s="10" t="s">
        <v>6844</v>
      </c>
      <c r="D7257" s="10" t="s">
        <v>3776</v>
      </c>
      <c r="E7257" s="10" t="str">
        <f>"644020240513095050173028"</f>
        <v>644020240513095050173028</v>
      </c>
      <c r="F7257" s="9"/>
    </row>
    <row r="7258" s="2" customFormat="1" ht="30" customHeight="1" spans="1:6">
      <c r="A7258" s="9">
        <v>7255</v>
      </c>
      <c r="B7258" s="10" t="s">
        <v>6843</v>
      </c>
      <c r="C7258" s="10" t="s">
        <v>6844</v>
      </c>
      <c r="D7258" s="10" t="s">
        <v>6962</v>
      </c>
      <c r="E7258" s="10" t="str">
        <f>"644020240513090501172542"</f>
        <v>644020240513090501172542</v>
      </c>
      <c r="F7258" s="9"/>
    </row>
    <row r="7259" s="2" customFormat="1" ht="30" customHeight="1" spans="1:6">
      <c r="A7259" s="9">
        <v>7256</v>
      </c>
      <c r="B7259" s="10" t="s">
        <v>6843</v>
      </c>
      <c r="C7259" s="10" t="s">
        <v>6844</v>
      </c>
      <c r="D7259" s="10" t="s">
        <v>6963</v>
      </c>
      <c r="E7259" s="10" t="str">
        <f>"644020240515180906182072"</f>
        <v>644020240515180906182072</v>
      </c>
      <c r="F7259" s="9"/>
    </row>
    <row r="7260" s="2" customFormat="1" ht="30" customHeight="1" spans="1:6">
      <c r="A7260" s="9">
        <v>7257</v>
      </c>
      <c r="B7260" s="10" t="s">
        <v>6843</v>
      </c>
      <c r="C7260" s="10" t="s">
        <v>6844</v>
      </c>
      <c r="D7260" s="10" t="s">
        <v>6964</v>
      </c>
      <c r="E7260" s="10" t="str">
        <f>"644020240514102043178374"</f>
        <v>644020240514102043178374</v>
      </c>
      <c r="F7260" s="9"/>
    </row>
    <row r="7261" s="2" customFormat="1" ht="30" customHeight="1" spans="1:6">
      <c r="A7261" s="9">
        <v>7258</v>
      </c>
      <c r="B7261" s="10" t="s">
        <v>6843</v>
      </c>
      <c r="C7261" s="10" t="s">
        <v>6844</v>
      </c>
      <c r="D7261" s="10" t="s">
        <v>6965</v>
      </c>
      <c r="E7261" s="10" t="str">
        <f>"644020240515115340181308"</f>
        <v>644020240515115340181308</v>
      </c>
      <c r="F7261" s="9"/>
    </row>
    <row r="7262" s="2" customFormat="1" ht="30" customHeight="1" spans="1:6">
      <c r="A7262" s="9">
        <v>7259</v>
      </c>
      <c r="B7262" s="10" t="s">
        <v>6843</v>
      </c>
      <c r="C7262" s="10" t="s">
        <v>6844</v>
      </c>
      <c r="D7262" s="10" t="s">
        <v>93</v>
      </c>
      <c r="E7262" s="10" t="str">
        <f>"644020240512155438169860"</f>
        <v>644020240512155438169860</v>
      </c>
      <c r="F7262" s="9"/>
    </row>
    <row r="7263" s="2" customFormat="1" ht="30" customHeight="1" spans="1:6">
      <c r="A7263" s="9">
        <v>7260</v>
      </c>
      <c r="B7263" s="10" t="s">
        <v>6843</v>
      </c>
      <c r="C7263" s="10" t="s">
        <v>6844</v>
      </c>
      <c r="D7263" s="10" t="s">
        <v>6966</v>
      </c>
      <c r="E7263" s="10" t="str">
        <f>"644020240514212916180205"</f>
        <v>644020240514212916180205</v>
      </c>
      <c r="F7263" s="9"/>
    </row>
    <row r="7264" s="2" customFormat="1" ht="30" customHeight="1" spans="1:6">
      <c r="A7264" s="9">
        <v>7261</v>
      </c>
      <c r="B7264" s="10" t="s">
        <v>6843</v>
      </c>
      <c r="C7264" s="10" t="s">
        <v>6844</v>
      </c>
      <c r="D7264" s="10" t="s">
        <v>6967</v>
      </c>
      <c r="E7264" s="10" t="str">
        <f>"644020240513220226177232"</f>
        <v>644020240513220226177232</v>
      </c>
      <c r="F7264" s="9"/>
    </row>
    <row r="7265" s="2" customFormat="1" ht="30" customHeight="1" spans="1:6">
      <c r="A7265" s="9">
        <v>7262</v>
      </c>
      <c r="B7265" s="10" t="s">
        <v>6843</v>
      </c>
      <c r="C7265" s="10" t="s">
        <v>6844</v>
      </c>
      <c r="D7265" s="10" t="s">
        <v>6968</v>
      </c>
      <c r="E7265" s="10" t="str">
        <f>"644020240515220212182327"</f>
        <v>644020240515220212182327</v>
      </c>
      <c r="F7265" s="9"/>
    </row>
    <row r="7266" s="2" customFormat="1" ht="30" customHeight="1" spans="1:6">
      <c r="A7266" s="9">
        <v>7263</v>
      </c>
      <c r="B7266" s="10" t="s">
        <v>6843</v>
      </c>
      <c r="C7266" s="10" t="s">
        <v>6844</v>
      </c>
      <c r="D7266" s="10" t="s">
        <v>4315</v>
      </c>
      <c r="E7266" s="10" t="str">
        <f>"644020240515144211181578"</f>
        <v>644020240515144211181578</v>
      </c>
      <c r="F7266" s="9"/>
    </row>
    <row r="7267" s="2" customFormat="1" ht="30" customHeight="1" spans="1:6">
      <c r="A7267" s="9">
        <v>7264</v>
      </c>
      <c r="B7267" s="10" t="s">
        <v>6843</v>
      </c>
      <c r="C7267" s="10" t="s">
        <v>6844</v>
      </c>
      <c r="D7267" s="10" t="s">
        <v>6969</v>
      </c>
      <c r="E7267" s="10" t="str">
        <f>"644020240515222553182412"</f>
        <v>644020240515222553182412</v>
      </c>
      <c r="F7267" s="9"/>
    </row>
    <row r="7268" s="2" customFormat="1" ht="30" customHeight="1" spans="1:6">
      <c r="A7268" s="9">
        <v>7265</v>
      </c>
      <c r="B7268" s="10" t="s">
        <v>6843</v>
      </c>
      <c r="C7268" s="10" t="s">
        <v>6844</v>
      </c>
      <c r="D7268" s="10" t="s">
        <v>6970</v>
      </c>
      <c r="E7268" s="10" t="str">
        <f>"644020240513231856177549"</f>
        <v>644020240513231856177549</v>
      </c>
      <c r="F7268" s="9"/>
    </row>
    <row r="7269" s="2" customFormat="1" ht="30" customHeight="1" spans="1:6">
      <c r="A7269" s="9">
        <v>7266</v>
      </c>
      <c r="B7269" s="10" t="s">
        <v>6843</v>
      </c>
      <c r="C7269" s="10" t="s">
        <v>6844</v>
      </c>
      <c r="D7269" s="10" t="s">
        <v>6971</v>
      </c>
      <c r="E7269" s="10" t="str">
        <f>"644020240513184443176461"</f>
        <v>644020240513184443176461</v>
      </c>
      <c r="F7269" s="9"/>
    </row>
    <row r="7270" s="2" customFormat="1" ht="30" customHeight="1" spans="1:6">
      <c r="A7270" s="9">
        <v>7267</v>
      </c>
      <c r="B7270" s="10" t="s">
        <v>6843</v>
      </c>
      <c r="C7270" s="10" t="s">
        <v>6844</v>
      </c>
      <c r="D7270" s="10" t="s">
        <v>6972</v>
      </c>
      <c r="E7270" s="10" t="str">
        <f>"644020240515162222181837"</f>
        <v>644020240515162222181837</v>
      </c>
      <c r="F7270" s="9"/>
    </row>
    <row r="7271" s="2" customFormat="1" ht="30" customHeight="1" spans="1:6">
      <c r="A7271" s="9">
        <v>7268</v>
      </c>
      <c r="B7271" s="10" t="s">
        <v>6843</v>
      </c>
      <c r="C7271" s="10" t="s">
        <v>6844</v>
      </c>
      <c r="D7271" s="10" t="s">
        <v>6973</v>
      </c>
      <c r="E7271" s="10" t="str">
        <f>"644020240513110920173769"</f>
        <v>644020240513110920173769</v>
      </c>
      <c r="F7271" s="9"/>
    </row>
    <row r="7272" s="2" customFormat="1" ht="30" customHeight="1" spans="1:6">
      <c r="A7272" s="9">
        <v>7269</v>
      </c>
      <c r="B7272" s="10" t="s">
        <v>6843</v>
      </c>
      <c r="C7272" s="10" t="s">
        <v>6844</v>
      </c>
      <c r="D7272" s="10" t="s">
        <v>6974</v>
      </c>
      <c r="E7272" s="10" t="str">
        <f>"644020240512110605168751"</f>
        <v>644020240512110605168751</v>
      </c>
      <c r="F7272" s="9"/>
    </row>
    <row r="7273" s="2" customFormat="1" ht="30" customHeight="1" spans="1:6">
      <c r="A7273" s="9">
        <v>7270</v>
      </c>
      <c r="B7273" s="10" t="s">
        <v>6843</v>
      </c>
      <c r="C7273" s="10" t="s">
        <v>6844</v>
      </c>
      <c r="D7273" s="10" t="s">
        <v>6975</v>
      </c>
      <c r="E7273" s="10" t="str">
        <f>"644020240515230546182521"</f>
        <v>644020240515230546182521</v>
      </c>
      <c r="F7273" s="9"/>
    </row>
    <row r="7274" s="2" customFormat="1" ht="30" customHeight="1" spans="1:6">
      <c r="A7274" s="9">
        <v>7271</v>
      </c>
      <c r="B7274" s="10" t="s">
        <v>6843</v>
      </c>
      <c r="C7274" s="10" t="s">
        <v>6844</v>
      </c>
      <c r="D7274" s="10" t="s">
        <v>6976</v>
      </c>
      <c r="E7274" s="10" t="str">
        <f>"644020240515230505182518"</f>
        <v>644020240515230505182518</v>
      </c>
      <c r="F7274" s="9"/>
    </row>
    <row r="7275" s="2" customFormat="1" ht="30" customHeight="1" spans="1:6">
      <c r="A7275" s="9">
        <v>7272</v>
      </c>
      <c r="B7275" s="10" t="s">
        <v>6843</v>
      </c>
      <c r="C7275" s="10" t="s">
        <v>6844</v>
      </c>
      <c r="D7275" s="10" t="s">
        <v>6977</v>
      </c>
      <c r="E7275" s="10" t="str">
        <f>"644020240515000700180575"</f>
        <v>644020240515000700180575</v>
      </c>
      <c r="F7275" s="9"/>
    </row>
    <row r="7276" s="2" customFormat="1" ht="30" customHeight="1" spans="1:6">
      <c r="A7276" s="9">
        <v>7273</v>
      </c>
      <c r="B7276" s="10" t="s">
        <v>6843</v>
      </c>
      <c r="C7276" s="10" t="s">
        <v>6844</v>
      </c>
      <c r="D7276" s="10" t="s">
        <v>185</v>
      </c>
      <c r="E7276" s="10" t="str">
        <f>"644020240516001850182654"</f>
        <v>644020240516001850182654</v>
      </c>
      <c r="F7276" s="9"/>
    </row>
    <row r="7277" s="2" customFormat="1" ht="30" customHeight="1" spans="1:6">
      <c r="A7277" s="9">
        <v>7274</v>
      </c>
      <c r="B7277" s="10" t="s">
        <v>6843</v>
      </c>
      <c r="C7277" s="10" t="s">
        <v>6844</v>
      </c>
      <c r="D7277" s="10" t="s">
        <v>6978</v>
      </c>
      <c r="E7277" s="10" t="str">
        <f>"644020240516024928182700"</f>
        <v>644020240516024928182700</v>
      </c>
      <c r="F7277" s="9"/>
    </row>
    <row r="7278" s="2" customFormat="1" ht="30" customHeight="1" spans="1:6">
      <c r="A7278" s="9">
        <v>7275</v>
      </c>
      <c r="B7278" s="10" t="s">
        <v>6843</v>
      </c>
      <c r="C7278" s="10" t="s">
        <v>6844</v>
      </c>
      <c r="D7278" s="10" t="s">
        <v>4845</v>
      </c>
      <c r="E7278" s="10" t="str">
        <f>"644020240514090507177993"</f>
        <v>644020240514090507177993</v>
      </c>
      <c r="F7278" s="9"/>
    </row>
    <row r="7279" s="2" customFormat="1" ht="30" customHeight="1" spans="1:6">
      <c r="A7279" s="9">
        <v>7276</v>
      </c>
      <c r="B7279" s="10" t="s">
        <v>6843</v>
      </c>
      <c r="C7279" s="10" t="s">
        <v>6844</v>
      </c>
      <c r="D7279" s="10" t="s">
        <v>6979</v>
      </c>
      <c r="E7279" s="10" t="str">
        <f>"644020240513113737174013"</f>
        <v>644020240513113737174013</v>
      </c>
      <c r="F7279" s="9"/>
    </row>
    <row r="7280" s="2" customFormat="1" ht="30" customHeight="1" spans="1:6">
      <c r="A7280" s="9">
        <v>7277</v>
      </c>
      <c r="B7280" s="10" t="s">
        <v>6843</v>
      </c>
      <c r="C7280" s="10" t="s">
        <v>6844</v>
      </c>
      <c r="D7280" s="10" t="s">
        <v>6980</v>
      </c>
      <c r="E7280" s="10" t="str">
        <f>"644020240516090621182818"</f>
        <v>644020240516090621182818</v>
      </c>
      <c r="F7280" s="9"/>
    </row>
    <row r="7281" s="2" customFormat="1" ht="30" customHeight="1" spans="1:6">
      <c r="A7281" s="9">
        <v>7278</v>
      </c>
      <c r="B7281" s="10" t="s">
        <v>6843</v>
      </c>
      <c r="C7281" s="10" t="s">
        <v>6844</v>
      </c>
      <c r="D7281" s="10" t="s">
        <v>3274</v>
      </c>
      <c r="E7281" s="10" t="str">
        <f>"644020240516083529182781"</f>
        <v>644020240516083529182781</v>
      </c>
      <c r="F7281" s="9"/>
    </row>
    <row r="7282" s="2" customFormat="1" ht="30" customHeight="1" spans="1:6">
      <c r="A7282" s="9">
        <v>7279</v>
      </c>
      <c r="B7282" s="10" t="s">
        <v>6843</v>
      </c>
      <c r="C7282" s="10" t="s">
        <v>6844</v>
      </c>
      <c r="D7282" s="10" t="s">
        <v>185</v>
      </c>
      <c r="E7282" s="10" t="str">
        <f>"644020240516093317182883"</f>
        <v>644020240516093317182883</v>
      </c>
      <c r="F7282" s="9"/>
    </row>
    <row r="7283" s="2" customFormat="1" ht="30" customHeight="1" spans="1:6">
      <c r="A7283" s="9">
        <v>7280</v>
      </c>
      <c r="B7283" s="10" t="s">
        <v>6843</v>
      </c>
      <c r="C7283" s="10" t="s">
        <v>6844</v>
      </c>
      <c r="D7283" s="10" t="s">
        <v>6981</v>
      </c>
      <c r="E7283" s="10" t="str">
        <f>"644020240514085949177958"</f>
        <v>644020240514085949177958</v>
      </c>
      <c r="F7283" s="9"/>
    </row>
    <row r="7284" s="2" customFormat="1" ht="30" customHeight="1" spans="1:6">
      <c r="A7284" s="9">
        <v>7281</v>
      </c>
      <c r="B7284" s="10" t="s">
        <v>6843</v>
      </c>
      <c r="C7284" s="10" t="s">
        <v>6844</v>
      </c>
      <c r="D7284" s="10" t="s">
        <v>6982</v>
      </c>
      <c r="E7284" s="10" t="str">
        <f>"644020240516121018183243"</f>
        <v>644020240516121018183243</v>
      </c>
      <c r="F7284" s="9"/>
    </row>
    <row r="7285" s="2" customFormat="1" ht="30" customHeight="1" spans="1:6">
      <c r="A7285" s="9">
        <v>7282</v>
      </c>
      <c r="B7285" s="10" t="s">
        <v>6843</v>
      </c>
      <c r="C7285" s="10" t="s">
        <v>6844</v>
      </c>
      <c r="D7285" s="10" t="s">
        <v>6983</v>
      </c>
      <c r="E7285" s="10" t="str">
        <f>"644020240516132407183368"</f>
        <v>644020240516132407183368</v>
      </c>
      <c r="F7285" s="9"/>
    </row>
    <row r="7286" s="2" customFormat="1" ht="30" customHeight="1" spans="1:6">
      <c r="A7286" s="9">
        <v>7283</v>
      </c>
      <c r="B7286" s="10" t="s">
        <v>6843</v>
      </c>
      <c r="C7286" s="10" t="s">
        <v>6844</v>
      </c>
      <c r="D7286" s="10" t="s">
        <v>6984</v>
      </c>
      <c r="E7286" s="10" t="str">
        <f>"644020240516145516183472"</f>
        <v>644020240516145516183472</v>
      </c>
      <c r="F7286" s="9"/>
    </row>
    <row r="7287" s="2" customFormat="1" ht="30" customHeight="1" spans="1:6">
      <c r="A7287" s="9">
        <v>7284</v>
      </c>
      <c r="B7287" s="10" t="s">
        <v>6843</v>
      </c>
      <c r="C7287" s="10" t="s">
        <v>6844</v>
      </c>
      <c r="D7287" s="10" t="s">
        <v>6985</v>
      </c>
      <c r="E7287" s="10" t="str">
        <f>"644020240513210336176972"</f>
        <v>644020240513210336176972</v>
      </c>
      <c r="F7287" s="9"/>
    </row>
    <row r="7288" s="2" customFormat="1" ht="30" customHeight="1" spans="1:6">
      <c r="A7288" s="9">
        <v>7285</v>
      </c>
      <c r="B7288" s="10" t="s">
        <v>6843</v>
      </c>
      <c r="C7288" s="10" t="s">
        <v>6844</v>
      </c>
      <c r="D7288" s="10" t="s">
        <v>6986</v>
      </c>
      <c r="E7288" s="10" t="str">
        <f>"644020240514145012179175"</f>
        <v>644020240514145012179175</v>
      </c>
      <c r="F7288" s="9"/>
    </row>
    <row r="7289" s="2" customFormat="1" ht="30" customHeight="1" spans="1:6">
      <c r="A7289" s="9">
        <v>7286</v>
      </c>
      <c r="B7289" s="10" t="s">
        <v>6843</v>
      </c>
      <c r="C7289" s="10" t="s">
        <v>6844</v>
      </c>
      <c r="D7289" s="10" t="s">
        <v>6987</v>
      </c>
      <c r="E7289" s="10" t="str">
        <f>"644020240516153428183555"</f>
        <v>644020240516153428183555</v>
      </c>
      <c r="F7289" s="9"/>
    </row>
    <row r="7290" s="2" customFormat="1" ht="30" customHeight="1" spans="1:6">
      <c r="A7290" s="9">
        <v>7287</v>
      </c>
      <c r="B7290" s="10" t="s">
        <v>6843</v>
      </c>
      <c r="C7290" s="10" t="s">
        <v>6844</v>
      </c>
      <c r="D7290" s="10" t="s">
        <v>6988</v>
      </c>
      <c r="E7290" s="10" t="str">
        <f>"644020240513201207176768"</f>
        <v>644020240513201207176768</v>
      </c>
      <c r="F7290" s="9"/>
    </row>
    <row r="7291" s="2" customFormat="1" ht="30" customHeight="1" spans="1:6">
      <c r="A7291" s="9">
        <v>7288</v>
      </c>
      <c r="B7291" s="10" t="s">
        <v>6843</v>
      </c>
      <c r="C7291" s="10" t="s">
        <v>6844</v>
      </c>
      <c r="D7291" s="10" t="s">
        <v>6989</v>
      </c>
      <c r="E7291" s="10" t="str">
        <f>"644020240516110553183118"</f>
        <v>644020240516110553183118</v>
      </c>
      <c r="F7291" s="9"/>
    </row>
    <row r="7292" s="2" customFormat="1" ht="30" customHeight="1" spans="1:6">
      <c r="A7292" s="9">
        <v>7289</v>
      </c>
      <c r="B7292" s="10" t="s">
        <v>6843</v>
      </c>
      <c r="C7292" s="10" t="s">
        <v>6844</v>
      </c>
      <c r="D7292" s="10" t="s">
        <v>6990</v>
      </c>
      <c r="E7292" s="10" t="str">
        <f>"644020240515152714181690"</f>
        <v>644020240515152714181690</v>
      </c>
      <c r="F7292" s="9"/>
    </row>
    <row r="7293" s="2" customFormat="1" ht="30" customHeight="1" spans="1:6">
      <c r="A7293" s="9">
        <v>7290</v>
      </c>
      <c r="B7293" s="10" t="s">
        <v>6843</v>
      </c>
      <c r="C7293" s="10" t="s">
        <v>6844</v>
      </c>
      <c r="D7293" s="10" t="s">
        <v>6991</v>
      </c>
      <c r="E7293" s="10" t="str">
        <f>"644020240515104319181088"</f>
        <v>644020240515104319181088</v>
      </c>
      <c r="F7293" s="9"/>
    </row>
    <row r="7294" s="2" customFormat="1" ht="30" customHeight="1" spans="1:6">
      <c r="A7294" s="9">
        <v>7291</v>
      </c>
      <c r="B7294" s="10" t="s">
        <v>6843</v>
      </c>
      <c r="C7294" s="10" t="s">
        <v>6844</v>
      </c>
      <c r="D7294" s="10" t="s">
        <v>6992</v>
      </c>
      <c r="E7294" s="10" t="str">
        <f>"644020240515222352182407"</f>
        <v>644020240515222352182407</v>
      </c>
      <c r="F7294" s="9"/>
    </row>
    <row r="7295" s="2" customFormat="1" ht="30" customHeight="1" spans="1:6">
      <c r="A7295" s="9">
        <v>7292</v>
      </c>
      <c r="B7295" s="10" t="s">
        <v>6843</v>
      </c>
      <c r="C7295" s="10" t="s">
        <v>6844</v>
      </c>
      <c r="D7295" s="10" t="s">
        <v>6993</v>
      </c>
      <c r="E7295" s="10" t="str">
        <f>"644020240516145741183476"</f>
        <v>644020240516145741183476</v>
      </c>
      <c r="F7295" s="9"/>
    </row>
    <row r="7296" s="2" customFormat="1" ht="30" customHeight="1" spans="1:6">
      <c r="A7296" s="9">
        <v>7293</v>
      </c>
      <c r="B7296" s="10" t="s">
        <v>6843</v>
      </c>
      <c r="C7296" s="10" t="s">
        <v>6844</v>
      </c>
      <c r="D7296" s="10" t="s">
        <v>6994</v>
      </c>
      <c r="E7296" s="10" t="str">
        <f>"644020240516203543184078"</f>
        <v>644020240516203543184078</v>
      </c>
      <c r="F7296" s="9"/>
    </row>
    <row r="7297" s="2" customFormat="1" ht="30" customHeight="1" spans="1:6">
      <c r="A7297" s="9">
        <v>7294</v>
      </c>
      <c r="B7297" s="10" t="s">
        <v>6843</v>
      </c>
      <c r="C7297" s="10" t="s">
        <v>6844</v>
      </c>
      <c r="D7297" s="10" t="s">
        <v>6995</v>
      </c>
      <c r="E7297" s="10" t="str">
        <f>"644020240515141837181542"</f>
        <v>644020240515141837181542</v>
      </c>
      <c r="F7297" s="9"/>
    </row>
    <row r="7298" s="2" customFormat="1" ht="30" customHeight="1" spans="1:6">
      <c r="A7298" s="9">
        <v>7295</v>
      </c>
      <c r="B7298" s="10" t="s">
        <v>6843</v>
      </c>
      <c r="C7298" s="10" t="s">
        <v>6844</v>
      </c>
      <c r="D7298" s="10" t="s">
        <v>6996</v>
      </c>
      <c r="E7298" s="10" t="str">
        <f>"644020240516215812184218"</f>
        <v>644020240516215812184218</v>
      </c>
      <c r="F7298" s="9"/>
    </row>
    <row r="7299" s="2" customFormat="1" ht="30" customHeight="1" spans="1:6">
      <c r="A7299" s="9">
        <v>7296</v>
      </c>
      <c r="B7299" s="10" t="s">
        <v>6843</v>
      </c>
      <c r="C7299" s="10" t="s">
        <v>6844</v>
      </c>
      <c r="D7299" s="10" t="s">
        <v>6997</v>
      </c>
      <c r="E7299" s="10" t="str">
        <f>"644020240516214127184167"</f>
        <v>644020240516214127184167</v>
      </c>
      <c r="F7299" s="9"/>
    </row>
    <row r="7300" s="2" customFormat="1" ht="30" customHeight="1" spans="1:6">
      <c r="A7300" s="9">
        <v>7297</v>
      </c>
      <c r="B7300" s="10" t="s">
        <v>6843</v>
      </c>
      <c r="C7300" s="10" t="s">
        <v>6844</v>
      </c>
      <c r="D7300" s="10" t="s">
        <v>5331</v>
      </c>
      <c r="E7300" s="10" t="str">
        <f>"644020240516224852184335"</f>
        <v>644020240516224852184335</v>
      </c>
      <c r="F7300" s="9"/>
    </row>
    <row r="7301" s="2" customFormat="1" ht="30" customHeight="1" spans="1:6">
      <c r="A7301" s="9">
        <v>7298</v>
      </c>
      <c r="B7301" s="10" t="s">
        <v>6843</v>
      </c>
      <c r="C7301" s="10" t="s">
        <v>6844</v>
      </c>
      <c r="D7301" s="10" t="s">
        <v>6998</v>
      </c>
      <c r="E7301" s="10" t="str">
        <f>"644020240516142930183427"</f>
        <v>644020240516142930183427</v>
      </c>
      <c r="F7301" s="9"/>
    </row>
    <row r="7302" s="2" customFormat="1" ht="30" customHeight="1" spans="1:6">
      <c r="A7302" s="9">
        <v>7299</v>
      </c>
      <c r="B7302" s="10" t="s">
        <v>6843</v>
      </c>
      <c r="C7302" s="10" t="s">
        <v>6844</v>
      </c>
      <c r="D7302" s="10" t="s">
        <v>6999</v>
      </c>
      <c r="E7302" s="10" t="str">
        <f>"644020240516232812184409"</f>
        <v>644020240516232812184409</v>
      </c>
      <c r="F7302" s="9"/>
    </row>
    <row r="7303" s="2" customFormat="1" ht="30" customHeight="1" spans="1:6">
      <c r="A7303" s="9">
        <v>7300</v>
      </c>
      <c r="B7303" s="10" t="s">
        <v>6843</v>
      </c>
      <c r="C7303" s="10" t="s">
        <v>6844</v>
      </c>
      <c r="D7303" s="10" t="s">
        <v>1279</v>
      </c>
      <c r="E7303" s="10" t="str">
        <f>"644020240516230716184370"</f>
        <v>644020240516230716184370</v>
      </c>
      <c r="F7303" s="9"/>
    </row>
    <row r="7304" s="2" customFormat="1" ht="30" customHeight="1" spans="1:6">
      <c r="A7304" s="9">
        <v>7301</v>
      </c>
      <c r="B7304" s="10" t="s">
        <v>6843</v>
      </c>
      <c r="C7304" s="10" t="s">
        <v>6844</v>
      </c>
      <c r="D7304" s="10" t="s">
        <v>7000</v>
      </c>
      <c r="E7304" s="10" t="str">
        <f>"644020240516001303182645"</f>
        <v>644020240516001303182645</v>
      </c>
      <c r="F7304" s="9"/>
    </row>
    <row r="7305" s="2" customFormat="1" ht="30" customHeight="1" spans="1:6">
      <c r="A7305" s="9">
        <v>7302</v>
      </c>
      <c r="B7305" s="10" t="s">
        <v>6843</v>
      </c>
      <c r="C7305" s="10" t="s">
        <v>6844</v>
      </c>
      <c r="D7305" s="10" t="s">
        <v>7001</v>
      </c>
      <c r="E7305" s="10" t="str">
        <f>"644020240515235001182610"</f>
        <v>644020240515235001182610</v>
      </c>
      <c r="F7305" s="9"/>
    </row>
    <row r="7306" s="2" customFormat="1" ht="30" customHeight="1" spans="1:6">
      <c r="A7306" s="9">
        <v>7303</v>
      </c>
      <c r="B7306" s="10" t="s">
        <v>6843</v>
      </c>
      <c r="C7306" s="10" t="s">
        <v>6844</v>
      </c>
      <c r="D7306" s="10" t="s">
        <v>7002</v>
      </c>
      <c r="E7306" s="10" t="str">
        <f>"644020240516193649184025"</f>
        <v>644020240516193649184025</v>
      </c>
      <c r="F7306" s="9"/>
    </row>
    <row r="7307" s="2" customFormat="1" ht="30" customHeight="1" spans="1:6">
      <c r="A7307" s="9">
        <v>7304</v>
      </c>
      <c r="B7307" s="10" t="s">
        <v>6843</v>
      </c>
      <c r="C7307" s="10" t="s">
        <v>6844</v>
      </c>
      <c r="D7307" s="10" t="s">
        <v>7003</v>
      </c>
      <c r="E7307" s="10" t="str">
        <f>"644020240516152001183528"</f>
        <v>644020240516152001183528</v>
      </c>
      <c r="F7307" s="9"/>
    </row>
    <row r="7308" s="2" customFormat="1" ht="30" customHeight="1" spans="1:6">
      <c r="A7308" s="9">
        <v>7305</v>
      </c>
      <c r="B7308" s="10" t="s">
        <v>6843</v>
      </c>
      <c r="C7308" s="10" t="s">
        <v>6844</v>
      </c>
      <c r="D7308" s="10" t="s">
        <v>7004</v>
      </c>
      <c r="E7308" s="10" t="str">
        <f>"644020240515183151182094"</f>
        <v>644020240515183151182094</v>
      </c>
      <c r="F7308" s="9"/>
    </row>
    <row r="7309" s="2" customFormat="1" ht="30" customHeight="1" spans="1:6">
      <c r="A7309" s="9">
        <v>7306</v>
      </c>
      <c r="B7309" s="10" t="s">
        <v>6843</v>
      </c>
      <c r="C7309" s="10" t="s">
        <v>6844</v>
      </c>
      <c r="D7309" s="10" t="s">
        <v>7005</v>
      </c>
      <c r="E7309" s="10" t="str">
        <f>"644020240516121048183245"</f>
        <v>644020240516121048183245</v>
      </c>
      <c r="F7309" s="9"/>
    </row>
    <row r="7310" s="2" customFormat="1" ht="30" customHeight="1" spans="1:6">
      <c r="A7310" s="9">
        <v>7307</v>
      </c>
      <c r="B7310" s="10" t="s">
        <v>6843</v>
      </c>
      <c r="C7310" s="10" t="s">
        <v>6844</v>
      </c>
      <c r="D7310" s="10" t="s">
        <v>7006</v>
      </c>
      <c r="E7310" s="10" t="str">
        <f>"644020240517095853184809"</f>
        <v>644020240517095853184809</v>
      </c>
      <c r="F7310" s="9"/>
    </row>
    <row r="7311" s="2" customFormat="1" ht="30" customHeight="1" spans="1:6">
      <c r="A7311" s="9">
        <v>7308</v>
      </c>
      <c r="B7311" s="10" t="s">
        <v>6843</v>
      </c>
      <c r="C7311" s="10" t="s">
        <v>6844</v>
      </c>
      <c r="D7311" s="10" t="s">
        <v>7007</v>
      </c>
      <c r="E7311" s="10" t="str">
        <f>"644020240513121633174225"</f>
        <v>644020240513121633174225</v>
      </c>
      <c r="F7311" s="9"/>
    </row>
    <row r="7312" s="2" customFormat="1" ht="30" customHeight="1" spans="1:6">
      <c r="A7312" s="9">
        <v>7309</v>
      </c>
      <c r="B7312" s="10" t="s">
        <v>6843</v>
      </c>
      <c r="C7312" s="10" t="s">
        <v>6844</v>
      </c>
      <c r="D7312" s="10" t="s">
        <v>7008</v>
      </c>
      <c r="E7312" s="10" t="str">
        <f>"644020240517103736184897"</f>
        <v>644020240517103736184897</v>
      </c>
      <c r="F7312" s="9"/>
    </row>
    <row r="7313" s="2" customFormat="1" ht="30" customHeight="1" spans="1:6">
      <c r="A7313" s="9">
        <v>7310</v>
      </c>
      <c r="B7313" s="10" t="s">
        <v>6843</v>
      </c>
      <c r="C7313" s="10" t="s">
        <v>6844</v>
      </c>
      <c r="D7313" s="10" t="s">
        <v>7009</v>
      </c>
      <c r="E7313" s="10" t="str">
        <f>"644020240517101935184863"</f>
        <v>644020240517101935184863</v>
      </c>
      <c r="F7313" s="9"/>
    </row>
    <row r="7314" s="2" customFormat="1" ht="30" customHeight="1" spans="1:6">
      <c r="A7314" s="9">
        <v>7311</v>
      </c>
      <c r="B7314" s="10" t="s">
        <v>6843</v>
      </c>
      <c r="C7314" s="10" t="s">
        <v>6844</v>
      </c>
      <c r="D7314" s="10" t="s">
        <v>7010</v>
      </c>
      <c r="E7314" s="10" t="str">
        <f>"644020240517121518185102"</f>
        <v>644020240517121518185102</v>
      </c>
      <c r="F7314" s="9"/>
    </row>
    <row r="7315" s="2" customFormat="1" ht="30" customHeight="1" spans="1:6">
      <c r="A7315" s="9">
        <v>7312</v>
      </c>
      <c r="B7315" s="10" t="s">
        <v>6843</v>
      </c>
      <c r="C7315" s="10" t="s">
        <v>6844</v>
      </c>
      <c r="D7315" s="10" t="s">
        <v>7011</v>
      </c>
      <c r="E7315" s="10" t="str">
        <f>"644020240512204241170895"</f>
        <v>644020240512204241170895</v>
      </c>
      <c r="F7315" s="9"/>
    </row>
    <row r="7316" s="2" customFormat="1" ht="30" customHeight="1" spans="1:6">
      <c r="A7316" s="9">
        <v>7313</v>
      </c>
      <c r="B7316" s="10" t="s">
        <v>6843</v>
      </c>
      <c r="C7316" s="10" t="s">
        <v>6844</v>
      </c>
      <c r="D7316" s="10" t="s">
        <v>7012</v>
      </c>
      <c r="E7316" s="10" t="str">
        <f>"644020240517105758184944"</f>
        <v>644020240517105758184944</v>
      </c>
      <c r="F7316" s="9"/>
    </row>
    <row r="7317" s="2" customFormat="1" ht="30" customHeight="1" spans="1:6">
      <c r="A7317" s="9">
        <v>7314</v>
      </c>
      <c r="B7317" s="10" t="s">
        <v>6843</v>
      </c>
      <c r="C7317" s="10" t="s">
        <v>6844</v>
      </c>
      <c r="D7317" s="10" t="s">
        <v>7013</v>
      </c>
      <c r="E7317" s="10" t="str">
        <f>"644020240517130811185221"</f>
        <v>644020240517130811185221</v>
      </c>
      <c r="F7317" s="9"/>
    </row>
    <row r="7318" s="2" customFormat="1" ht="30" customHeight="1" spans="1:6">
      <c r="A7318" s="9">
        <v>7315</v>
      </c>
      <c r="B7318" s="10" t="s">
        <v>6843</v>
      </c>
      <c r="C7318" s="10" t="s">
        <v>6844</v>
      </c>
      <c r="D7318" s="10" t="s">
        <v>7014</v>
      </c>
      <c r="E7318" s="10" t="str">
        <f>"644020240515092535180842"</f>
        <v>644020240515092535180842</v>
      </c>
      <c r="F7318" s="9"/>
    </row>
    <row r="7319" s="2" customFormat="1" ht="30" customHeight="1" spans="1:6">
      <c r="A7319" s="9">
        <v>7316</v>
      </c>
      <c r="B7319" s="10" t="s">
        <v>6843</v>
      </c>
      <c r="C7319" s="10" t="s">
        <v>6844</v>
      </c>
      <c r="D7319" s="10" t="s">
        <v>859</v>
      </c>
      <c r="E7319" s="10" t="str">
        <f>"644020240516183920183949"</f>
        <v>644020240516183920183949</v>
      </c>
      <c r="F7319" s="9"/>
    </row>
    <row r="7320" s="2" customFormat="1" ht="30" customHeight="1" spans="1:6">
      <c r="A7320" s="9">
        <v>7317</v>
      </c>
      <c r="B7320" s="10" t="s">
        <v>6843</v>
      </c>
      <c r="C7320" s="10" t="s">
        <v>6844</v>
      </c>
      <c r="D7320" s="10" t="s">
        <v>7015</v>
      </c>
      <c r="E7320" s="10" t="str">
        <f>"644020240517153848185534"</f>
        <v>644020240517153848185534</v>
      </c>
      <c r="F7320" s="9"/>
    </row>
    <row r="7321" s="2" customFormat="1" ht="30" customHeight="1" spans="1:6">
      <c r="A7321" s="9">
        <v>7318</v>
      </c>
      <c r="B7321" s="10" t="s">
        <v>6843</v>
      </c>
      <c r="C7321" s="10" t="s">
        <v>6844</v>
      </c>
      <c r="D7321" s="10" t="s">
        <v>7016</v>
      </c>
      <c r="E7321" s="10" t="str">
        <f>"644020240517163254185656"</f>
        <v>644020240517163254185656</v>
      </c>
      <c r="F7321" s="9"/>
    </row>
    <row r="7322" s="2" customFormat="1" ht="30" customHeight="1" spans="1:6">
      <c r="A7322" s="9">
        <v>7319</v>
      </c>
      <c r="B7322" s="10" t="s">
        <v>6843</v>
      </c>
      <c r="C7322" s="10" t="s">
        <v>6844</v>
      </c>
      <c r="D7322" s="10" t="s">
        <v>7017</v>
      </c>
      <c r="E7322" s="10" t="str">
        <f>"644020240517101807184858"</f>
        <v>644020240517101807184858</v>
      </c>
      <c r="F7322" s="9"/>
    </row>
    <row r="7323" s="2" customFormat="1" ht="30" customHeight="1" spans="1:6">
      <c r="A7323" s="9">
        <v>7320</v>
      </c>
      <c r="B7323" s="10" t="s">
        <v>6843</v>
      </c>
      <c r="C7323" s="10" t="s">
        <v>6844</v>
      </c>
      <c r="D7323" s="10" t="s">
        <v>7018</v>
      </c>
      <c r="E7323" s="10" t="str">
        <f>"644020240517194539185909"</f>
        <v>644020240517194539185909</v>
      </c>
      <c r="F7323" s="9"/>
    </row>
    <row r="7324" s="2" customFormat="1" ht="30" customHeight="1" spans="1:6">
      <c r="A7324" s="9">
        <v>7321</v>
      </c>
      <c r="B7324" s="10" t="s">
        <v>6843</v>
      </c>
      <c r="C7324" s="10" t="s">
        <v>6844</v>
      </c>
      <c r="D7324" s="10" t="s">
        <v>7019</v>
      </c>
      <c r="E7324" s="10" t="str">
        <f>"644020240514091734178051"</f>
        <v>644020240514091734178051</v>
      </c>
      <c r="F7324" s="9"/>
    </row>
    <row r="7325" s="2" customFormat="1" ht="30" customHeight="1" spans="1:6">
      <c r="A7325" s="9">
        <v>7322</v>
      </c>
      <c r="B7325" s="10" t="s">
        <v>6843</v>
      </c>
      <c r="C7325" s="10" t="s">
        <v>6844</v>
      </c>
      <c r="D7325" s="10" t="s">
        <v>7020</v>
      </c>
      <c r="E7325" s="10" t="str">
        <f>"644020240513194844176688"</f>
        <v>644020240513194844176688</v>
      </c>
      <c r="F7325" s="9"/>
    </row>
    <row r="7326" s="2" customFormat="1" ht="30" customHeight="1" spans="1:6">
      <c r="A7326" s="9">
        <v>7323</v>
      </c>
      <c r="B7326" s="10" t="s">
        <v>6843</v>
      </c>
      <c r="C7326" s="10" t="s">
        <v>6844</v>
      </c>
      <c r="D7326" s="10" t="s">
        <v>7021</v>
      </c>
      <c r="E7326" s="10" t="str">
        <f>"644020240515194837182198"</f>
        <v>644020240515194837182198</v>
      </c>
      <c r="F7326" s="9"/>
    </row>
    <row r="7327" s="2" customFormat="1" ht="30" customHeight="1" spans="1:6">
      <c r="A7327" s="9">
        <v>7324</v>
      </c>
      <c r="B7327" s="10" t="s">
        <v>6843</v>
      </c>
      <c r="C7327" s="10" t="s">
        <v>6844</v>
      </c>
      <c r="D7327" s="10" t="s">
        <v>7022</v>
      </c>
      <c r="E7327" s="10" t="str">
        <f>"644020240517211244185973"</f>
        <v>644020240517211244185973</v>
      </c>
      <c r="F7327" s="9"/>
    </row>
    <row r="7328" s="2" customFormat="1" ht="30" customHeight="1" spans="1:6">
      <c r="A7328" s="9">
        <v>7325</v>
      </c>
      <c r="B7328" s="10" t="s">
        <v>6843</v>
      </c>
      <c r="C7328" s="10" t="s">
        <v>6844</v>
      </c>
      <c r="D7328" s="10" t="s">
        <v>7023</v>
      </c>
      <c r="E7328" s="10" t="str">
        <f>"644020240517080946184610"</f>
        <v>644020240517080946184610</v>
      </c>
      <c r="F7328" s="9"/>
    </row>
    <row r="7329" s="2" customFormat="1" ht="30" customHeight="1" spans="1:6">
      <c r="A7329" s="9">
        <v>7326</v>
      </c>
      <c r="B7329" s="10" t="s">
        <v>6843</v>
      </c>
      <c r="C7329" s="10" t="s">
        <v>6844</v>
      </c>
      <c r="D7329" s="10" t="s">
        <v>7024</v>
      </c>
      <c r="E7329" s="10" t="str">
        <f>"644020240517215535186044"</f>
        <v>644020240517215535186044</v>
      </c>
      <c r="F7329" s="9"/>
    </row>
    <row r="7330" s="2" customFormat="1" ht="30" customHeight="1" spans="1:6">
      <c r="A7330" s="9">
        <v>7327</v>
      </c>
      <c r="B7330" s="10" t="s">
        <v>6843</v>
      </c>
      <c r="C7330" s="10" t="s">
        <v>6844</v>
      </c>
      <c r="D7330" s="10" t="s">
        <v>7025</v>
      </c>
      <c r="E7330" s="10" t="str">
        <f>"644020240516094235182906"</f>
        <v>644020240516094235182906</v>
      </c>
      <c r="F7330" s="9"/>
    </row>
    <row r="7331" s="2" customFormat="1" ht="30" customHeight="1" spans="1:6">
      <c r="A7331" s="9">
        <v>7328</v>
      </c>
      <c r="B7331" s="10" t="s">
        <v>6843</v>
      </c>
      <c r="C7331" s="10" t="s">
        <v>6844</v>
      </c>
      <c r="D7331" s="10" t="s">
        <v>7026</v>
      </c>
      <c r="E7331" s="10" t="str">
        <f>"644020240517174006185760"</f>
        <v>644020240517174006185760</v>
      </c>
      <c r="F7331" s="9"/>
    </row>
    <row r="7332" s="2" customFormat="1" ht="30" customHeight="1" spans="1:6">
      <c r="A7332" s="9">
        <v>7329</v>
      </c>
      <c r="B7332" s="10" t="s">
        <v>6843</v>
      </c>
      <c r="C7332" s="10" t="s">
        <v>6844</v>
      </c>
      <c r="D7332" s="10" t="s">
        <v>7027</v>
      </c>
      <c r="E7332" s="10" t="str">
        <f>"644020240513201828176787"</f>
        <v>644020240513201828176787</v>
      </c>
      <c r="F7332" s="9"/>
    </row>
    <row r="7333" s="2" customFormat="1" ht="30" customHeight="1" spans="1:6">
      <c r="A7333" s="9">
        <v>7330</v>
      </c>
      <c r="B7333" s="10" t="s">
        <v>6843</v>
      </c>
      <c r="C7333" s="10" t="s">
        <v>6844</v>
      </c>
      <c r="D7333" s="10" t="s">
        <v>7028</v>
      </c>
      <c r="E7333" s="10" t="str">
        <f>"644020240517232418186094"</f>
        <v>644020240517232418186094</v>
      </c>
      <c r="F7333" s="9"/>
    </row>
    <row r="7334" s="2" customFormat="1" ht="30" customHeight="1" spans="1:6">
      <c r="A7334" s="9">
        <v>7331</v>
      </c>
      <c r="B7334" s="10" t="s">
        <v>6843</v>
      </c>
      <c r="C7334" s="10" t="s">
        <v>6844</v>
      </c>
      <c r="D7334" s="10" t="s">
        <v>7029</v>
      </c>
      <c r="E7334" s="10" t="str">
        <f>"644020240518001437186171"</f>
        <v>644020240518001437186171</v>
      </c>
      <c r="F7334" s="9"/>
    </row>
    <row r="7335" s="2" customFormat="1" ht="30" customHeight="1" spans="1:6">
      <c r="A7335" s="9">
        <v>7332</v>
      </c>
      <c r="B7335" s="10" t="s">
        <v>6843</v>
      </c>
      <c r="C7335" s="10" t="s">
        <v>6844</v>
      </c>
      <c r="D7335" s="10" t="s">
        <v>7030</v>
      </c>
      <c r="E7335" s="10" t="str">
        <f>"644020240518010434186233"</f>
        <v>644020240518010434186233</v>
      </c>
      <c r="F7335" s="9"/>
    </row>
    <row r="7336" s="2" customFormat="1" ht="30" customHeight="1" spans="1:6">
      <c r="A7336" s="9">
        <v>7333</v>
      </c>
      <c r="B7336" s="10" t="s">
        <v>6843</v>
      </c>
      <c r="C7336" s="10" t="s">
        <v>6844</v>
      </c>
      <c r="D7336" s="10" t="s">
        <v>7031</v>
      </c>
      <c r="E7336" s="10" t="str">
        <f>"644020240518012400186248"</f>
        <v>644020240518012400186248</v>
      </c>
      <c r="F7336" s="9"/>
    </row>
    <row r="7337" s="2" customFormat="1" ht="30" customHeight="1" spans="1:6">
      <c r="A7337" s="9">
        <v>7334</v>
      </c>
      <c r="B7337" s="10" t="s">
        <v>6843</v>
      </c>
      <c r="C7337" s="10" t="s">
        <v>6844</v>
      </c>
      <c r="D7337" s="10" t="s">
        <v>7032</v>
      </c>
      <c r="E7337" s="10" t="str">
        <f>"644020240514211146180145"</f>
        <v>644020240514211146180145</v>
      </c>
      <c r="F7337" s="9"/>
    </row>
    <row r="7338" s="2" customFormat="1" ht="30" customHeight="1" spans="1:6">
      <c r="A7338" s="9">
        <v>7335</v>
      </c>
      <c r="B7338" s="10" t="s">
        <v>6843</v>
      </c>
      <c r="C7338" s="10" t="s">
        <v>6844</v>
      </c>
      <c r="D7338" s="10" t="s">
        <v>7033</v>
      </c>
      <c r="E7338" s="10" t="str">
        <f>"644020240518082032186389"</f>
        <v>644020240518082032186389</v>
      </c>
      <c r="F7338" s="9"/>
    </row>
    <row r="7339" s="2" customFormat="1" ht="30" customHeight="1" spans="1:6">
      <c r="A7339" s="9">
        <v>7336</v>
      </c>
      <c r="B7339" s="10" t="s">
        <v>6843</v>
      </c>
      <c r="C7339" s="10" t="s">
        <v>6844</v>
      </c>
      <c r="D7339" s="10" t="s">
        <v>7034</v>
      </c>
      <c r="E7339" s="10" t="str">
        <f>"644020240518082629186395"</f>
        <v>644020240518082629186395</v>
      </c>
      <c r="F7339" s="9"/>
    </row>
    <row r="7340" s="2" customFormat="1" ht="30" customHeight="1" spans="1:6">
      <c r="A7340" s="9">
        <v>7337</v>
      </c>
      <c r="B7340" s="10" t="s">
        <v>6843</v>
      </c>
      <c r="C7340" s="10" t="s">
        <v>6844</v>
      </c>
      <c r="D7340" s="10" t="s">
        <v>7035</v>
      </c>
      <c r="E7340" s="10" t="str">
        <f>"644020240517232249186086"</f>
        <v>644020240517232249186086</v>
      </c>
      <c r="F7340" s="9"/>
    </row>
    <row r="7341" s="2" customFormat="1" ht="30" customHeight="1" spans="1:6">
      <c r="A7341" s="9">
        <v>7338</v>
      </c>
      <c r="B7341" s="10" t="s">
        <v>6843</v>
      </c>
      <c r="C7341" s="10" t="s">
        <v>6844</v>
      </c>
      <c r="D7341" s="10" t="s">
        <v>7036</v>
      </c>
      <c r="E7341" s="10" t="str">
        <f>"644020240518004034186204"</f>
        <v>644020240518004034186204</v>
      </c>
      <c r="F7341" s="9"/>
    </row>
    <row r="7342" s="2" customFormat="1" ht="30" customHeight="1" spans="1:6">
      <c r="A7342" s="9">
        <v>7339</v>
      </c>
      <c r="B7342" s="10" t="s">
        <v>6843</v>
      </c>
      <c r="C7342" s="10" t="s">
        <v>6844</v>
      </c>
      <c r="D7342" s="10" t="s">
        <v>7037</v>
      </c>
      <c r="E7342" s="10" t="str">
        <f>"644020240517235211186141"</f>
        <v>644020240517235211186141</v>
      </c>
      <c r="F7342" s="9"/>
    </row>
    <row r="7343" s="2" customFormat="1" ht="30" customHeight="1" spans="1:6">
      <c r="A7343" s="9">
        <v>7340</v>
      </c>
      <c r="B7343" s="10" t="s">
        <v>6843</v>
      </c>
      <c r="C7343" s="10" t="s">
        <v>6844</v>
      </c>
      <c r="D7343" s="10" t="s">
        <v>7038</v>
      </c>
      <c r="E7343" s="10" t="str">
        <f>"644020240518093642186516"</f>
        <v>644020240518093642186516</v>
      </c>
      <c r="F7343" s="9"/>
    </row>
    <row r="7344" s="2" customFormat="1" ht="30" customHeight="1" spans="1:6">
      <c r="A7344" s="9">
        <v>7341</v>
      </c>
      <c r="B7344" s="10" t="s">
        <v>6843</v>
      </c>
      <c r="C7344" s="10" t="s">
        <v>6844</v>
      </c>
      <c r="D7344" s="10" t="s">
        <v>7039</v>
      </c>
      <c r="E7344" s="10" t="str">
        <f>"644020240518084905186426"</f>
        <v>644020240518084905186426</v>
      </c>
      <c r="F7344" s="9"/>
    </row>
    <row r="7345" s="2" customFormat="1" ht="30" customHeight="1" spans="1:6">
      <c r="A7345" s="9">
        <v>7342</v>
      </c>
      <c r="B7345" s="10" t="s">
        <v>6843</v>
      </c>
      <c r="C7345" s="10" t="s">
        <v>6844</v>
      </c>
      <c r="D7345" s="10" t="s">
        <v>7040</v>
      </c>
      <c r="E7345" s="10" t="str">
        <f>"644020240518103332186656"</f>
        <v>644020240518103332186656</v>
      </c>
      <c r="F7345" s="9"/>
    </row>
    <row r="7346" s="2" customFormat="1" ht="30" customHeight="1" spans="1:6">
      <c r="A7346" s="9">
        <v>7343</v>
      </c>
      <c r="B7346" s="10" t="s">
        <v>6843</v>
      </c>
      <c r="C7346" s="10" t="s">
        <v>6844</v>
      </c>
      <c r="D7346" s="10" t="s">
        <v>7041</v>
      </c>
      <c r="E7346" s="10" t="str">
        <f>"644020240518102110186626"</f>
        <v>644020240518102110186626</v>
      </c>
      <c r="F7346" s="9"/>
    </row>
    <row r="7347" s="2" customFormat="1" ht="30" customHeight="1" spans="1:6">
      <c r="A7347" s="9">
        <v>7344</v>
      </c>
      <c r="B7347" s="10" t="s">
        <v>6843</v>
      </c>
      <c r="C7347" s="10" t="s">
        <v>6844</v>
      </c>
      <c r="D7347" s="10" t="s">
        <v>7042</v>
      </c>
      <c r="E7347" s="10" t="str">
        <f>"644020240518112510186757"</f>
        <v>644020240518112510186757</v>
      </c>
      <c r="F7347" s="9"/>
    </row>
    <row r="7348" s="2" customFormat="1" ht="30" customHeight="1" spans="1:6">
      <c r="A7348" s="9">
        <v>7345</v>
      </c>
      <c r="B7348" s="10" t="s">
        <v>6843</v>
      </c>
      <c r="C7348" s="10" t="s">
        <v>6844</v>
      </c>
      <c r="D7348" s="10" t="s">
        <v>5413</v>
      </c>
      <c r="E7348" s="10" t="str">
        <f>"644020240518114511186788"</f>
        <v>644020240518114511186788</v>
      </c>
      <c r="F7348" s="9"/>
    </row>
    <row r="7349" s="2" customFormat="1" ht="30" customHeight="1" spans="1:6">
      <c r="A7349" s="9">
        <v>7346</v>
      </c>
      <c r="B7349" s="10" t="s">
        <v>7043</v>
      </c>
      <c r="C7349" s="10" t="s">
        <v>7044</v>
      </c>
      <c r="D7349" s="10" t="s">
        <v>7045</v>
      </c>
      <c r="E7349" s="10" t="str">
        <f>"644020240512092758168229"</f>
        <v>644020240512092758168229</v>
      </c>
      <c r="F7349" s="9"/>
    </row>
    <row r="7350" s="2" customFormat="1" ht="30" customHeight="1" spans="1:6">
      <c r="A7350" s="9">
        <v>7347</v>
      </c>
      <c r="B7350" s="10" t="s">
        <v>7043</v>
      </c>
      <c r="C7350" s="10" t="s">
        <v>7044</v>
      </c>
      <c r="D7350" s="10" t="s">
        <v>7046</v>
      </c>
      <c r="E7350" s="10" t="str">
        <f>"644020240512095125168327"</f>
        <v>644020240512095125168327</v>
      </c>
      <c r="F7350" s="9"/>
    </row>
    <row r="7351" s="2" customFormat="1" ht="30" customHeight="1" spans="1:6">
      <c r="A7351" s="9">
        <v>7348</v>
      </c>
      <c r="B7351" s="10" t="s">
        <v>7043</v>
      </c>
      <c r="C7351" s="10" t="s">
        <v>7044</v>
      </c>
      <c r="D7351" s="10" t="s">
        <v>7047</v>
      </c>
      <c r="E7351" s="10" t="str">
        <f>"644020240512111708168813"</f>
        <v>644020240512111708168813</v>
      </c>
      <c r="F7351" s="9"/>
    </row>
    <row r="7352" s="2" customFormat="1" ht="30" customHeight="1" spans="1:6">
      <c r="A7352" s="9">
        <v>7349</v>
      </c>
      <c r="B7352" s="10" t="s">
        <v>7043</v>
      </c>
      <c r="C7352" s="10" t="s">
        <v>7044</v>
      </c>
      <c r="D7352" s="10" t="s">
        <v>7048</v>
      </c>
      <c r="E7352" s="10" t="str">
        <f>"644020240512113022168883"</f>
        <v>644020240512113022168883</v>
      </c>
      <c r="F7352" s="9"/>
    </row>
    <row r="7353" s="2" customFormat="1" ht="30" customHeight="1" spans="1:6">
      <c r="A7353" s="9">
        <v>7350</v>
      </c>
      <c r="B7353" s="10" t="s">
        <v>7043</v>
      </c>
      <c r="C7353" s="10" t="s">
        <v>7044</v>
      </c>
      <c r="D7353" s="10" t="s">
        <v>7049</v>
      </c>
      <c r="E7353" s="10" t="str">
        <f>"644020240512113114168888"</f>
        <v>644020240512113114168888</v>
      </c>
      <c r="F7353" s="9"/>
    </row>
    <row r="7354" s="2" customFormat="1" ht="30" customHeight="1" spans="1:6">
      <c r="A7354" s="9">
        <v>7351</v>
      </c>
      <c r="B7354" s="10" t="s">
        <v>7043</v>
      </c>
      <c r="C7354" s="10" t="s">
        <v>7044</v>
      </c>
      <c r="D7354" s="10" t="s">
        <v>7050</v>
      </c>
      <c r="E7354" s="10" t="str">
        <f>"644020240512123110169124"</f>
        <v>644020240512123110169124</v>
      </c>
      <c r="F7354" s="9"/>
    </row>
    <row r="7355" s="2" customFormat="1" ht="30" customHeight="1" spans="1:6">
      <c r="A7355" s="9">
        <v>7352</v>
      </c>
      <c r="B7355" s="10" t="s">
        <v>7043</v>
      </c>
      <c r="C7355" s="10" t="s">
        <v>7044</v>
      </c>
      <c r="D7355" s="10" t="s">
        <v>7051</v>
      </c>
      <c r="E7355" s="10" t="str">
        <f>"644020240512133902169396"</f>
        <v>644020240512133902169396</v>
      </c>
      <c r="F7355" s="9"/>
    </row>
    <row r="7356" s="2" customFormat="1" ht="30" customHeight="1" spans="1:6">
      <c r="A7356" s="9">
        <v>7353</v>
      </c>
      <c r="B7356" s="10" t="s">
        <v>7043</v>
      </c>
      <c r="C7356" s="10" t="s">
        <v>7044</v>
      </c>
      <c r="D7356" s="10" t="s">
        <v>7052</v>
      </c>
      <c r="E7356" s="10" t="str">
        <f>"644020240512095453168349"</f>
        <v>644020240512095453168349</v>
      </c>
      <c r="F7356" s="9"/>
    </row>
    <row r="7357" s="2" customFormat="1" ht="30" customHeight="1" spans="1:6">
      <c r="A7357" s="9">
        <v>7354</v>
      </c>
      <c r="B7357" s="10" t="s">
        <v>7043</v>
      </c>
      <c r="C7357" s="10" t="s">
        <v>7044</v>
      </c>
      <c r="D7357" s="10" t="s">
        <v>7053</v>
      </c>
      <c r="E7357" s="10" t="str">
        <f>"644020240512145331169627"</f>
        <v>644020240512145331169627</v>
      </c>
      <c r="F7357" s="9"/>
    </row>
    <row r="7358" s="2" customFormat="1" ht="30" customHeight="1" spans="1:6">
      <c r="A7358" s="9">
        <v>7355</v>
      </c>
      <c r="B7358" s="10" t="s">
        <v>7043</v>
      </c>
      <c r="C7358" s="10" t="s">
        <v>7044</v>
      </c>
      <c r="D7358" s="10" t="s">
        <v>7054</v>
      </c>
      <c r="E7358" s="10" t="str">
        <f>"644020240512165624170094"</f>
        <v>644020240512165624170094</v>
      </c>
      <c r="F7358" s="9"/>
    </row>
    <row r="7359" s="2" customFormat="1" ht="30" customHeight="1" spans="1:6">
      <c r="A7359" s="9">
        <v>7356</v>
      </c>
      <c r="B7359" s="10" t="s">
        <v>7043</v>
      </c>
      <c r="C7359" s="10" t="s">
        <v>7044</v>
      </c>
      <c r="D7359" s="10" t="s">
        <v>7055</v>
      </c>
      <c r="E7359" s="10" t="str">
        <f>"644020240512172620170195"</f>
        <v>644020240512172620170195</v>
      </c>
      <c r="F7359" s="9"/>
    </row>
    <row r="7360" s="2" customFormat="1" ht="30" customHeight="1" spans="1:6">
      <c r="A7360" s="9">
        <v>7357</v>
      </c>
      <c r="B7360" s="10" t="s">
        <v>7043</v>
      </c>
      <c r="C7360" s="10" t="s">
        <v>7044</v>
      </c>
      <c r="D7360" s="10" t="s">
        <v>7056</v>
      </c>
      <c r="E7360" s="10" t="str">
        <f>"644020240512174001170247"</f>
        <v>644020240512174001170247</v>
      </c>
      <c r="F7360" s="9"/>
    </row>
    <row r="7361" s="2" customFormat="1" ht="30" customHeight="1" spans="1:6">
      <c r="A7361" s="9">
        <v>7358</v>
      </c>
      <c r="B7361" s="10" t="s">
        <v>7043</v>
      </c>
      <c r="C7361" s="10" t="s">
        <v>7044</v>
      </c>
      <c r="D7361" s="10" t="s">
        <v>7057</v>
      </c>
      <c r="E7361" s="10" t="str">
        <f>"644020240512190711170529"</f>
        <v>644020240512190711170529</v>
      </c>
      <c r="F7361" s="9"/>
    </row>
    <row r="7362" s="2" customFormat="1" ht="30" customHeight="1" spans="1:6">
      <c r="A7362" s="9">
        <v>7359</v>
      </c>
      <c r="B7362" s="10" t="s">
        <v>7043</v>
      </c>
      <c r="C7362" s="10" t="s">
        <v>7044</v>
      </c>
      <c r="D7362" s="10" t="s">
        <v>7058</v>
      </c>
      <c r="E7362" s="10" t="str">
        <f>"644020240512202837170832"</f>
        <v>644020240512202837170832</v>
      </c>
      <c r="F7362" s="9"/>
    </row>
    <row r="7363" s="2" customFormat="1" ht="30" customHeight="1" spans="1:6">
      <c r="A7363" s="9">
        <v>7360</v>
      </c>
      <c r="B7363" s="10" t="s">
        <v>7043</v>
      </c>
      <c r="C7363" s="10" t="s">
        <v>7044</v>
      </c>
      <c r="D7363" s="10" t="s">
        <v>7059</v>
      </c>
      <c r="E7363" s="10" t="str">
        <f>"644020240512174503170260"</f>
        <v>644020240512174503170260</v>
      </c>
      <c r="F7363" s="9"/>
    </row>
    <row r="7364" s="2" customFormat="1" ht="30" customHeight="1" spans="1:6">
      <c r="A7364" s="9">
        <v>7361</v>
      </c>
      <c r="B7364" s="10" t="s">
        <v>7043</v>
      </c>
      <c r="C7364" s="10" t="s">
        <v>7044</v>
      </c>
      <c r="D7364" s="10" t="s">
        <v>7060</v>
      </c>
      <c r="E7364" s="10" t="str">
        <f>"644020240512205846170984"</f>
        <v>644020240512205846170984</v>
      </c>
      <c r="F7364" s="9"/>
    </row>
    <row r="7365" s="2" customFormat="1" ht="30" customHeight="1" spans="1:6">
      <c r="A7365" s="9">
        <v>7362</v>
      </c>
      <c r="B7365" s="10" t="s">
        <v>7043</v>
      </c>
      <c r="C7365" s="10" t="s">
        <v>7044</v>
      </c>
      <c r="D7365" s="10" t="s">
        <v>7061</v>
      </c>
      <c r="E7365" s="10" t="str">
        <f>"644020240512214510171236"</f>
        <v>644020240512214510171236</v>
      </c>
      <c r="F7365" s="9"/>
    </row>
    <row r="7366" s="2" customFormat="1" ht="30" customHeight="1" spans="1:6">
      <c r="A7366" s="9">
        <v>7363</v>
      </c>
      <c r="B7366" s="10" t="s">
        <v>7043</v>
      </c>
      <c r="C7366" s="10" t="s">
        <v>7044</v>
      </c>
      <c r="D7366" s="10" t="s">
        <v>7062</v>
      </c>
      <c r="E7366" s="10" t="str">
        <f>"644020240512214043171202"</f>
        <v>644020240512214043171202</v>
      </c>
      <c r="F7366" s="9"/>
    </row>
    <row r="7367" s="2" customFormat="1" ht="30" customHeight="1" spans="1:6">
      <c r="A7367" s="9">
        <v>7364</v>
      </c>
      <c r="B7367" s="10" t="s">
        <v>7043</v>
      </c>
      <c r="C7367" s="10" t="s">
        <v>7044</v>
      </c>
      <c r="D7367" s="10" t="s">
        <v>7063</v>
      </c>
      <c r="E7367" s="10" t="str">
        <f>"644020240512220445171354"</f>
        <v>644020240512220445171354</v>
      </c>
      <c r="F7367" s="9"/>
    </row>
    <row r="7368" s="2" customFormat="1" ht="30" customHeight="1" spans="1:6">
      <c r="A7368" s="9">
        <v>7365</v>
      </c>
      <c r="B7368" s="10" t="s">
        <v>7043</v>
      </c>
      <c r="C7368" s="10" t="s">
        <v>7044</v>
      </c>
      <c r="D7368" s="10" t="s">
        <v>7064</v>
      </c>
      <c r="E7368" s="10" t="str">
        <f>"644020240512225309171635"</f>
        <v>644020240512225309171635</v>
      </c>
      <c r="F7368" s="9"/>
    </row>
    <row r="7369" s="2" customFormat="1" ht="30" customHeight="1" spans="1:6">
      <c r="A7369" s="9">
        <v>7366</v>
      </c>
      <c r="B7369" s="10" t="s">
        <v>7043</v>
      </c>
      <c r="C7369" s="10" t="s">
        <v>7044</v>
      </c>
      <c r="D7369" s="10" t="s">
        <v>6316</v>
      </c>
      <c r="E7369" s="10" t="str">
        <f>"644020240512225341171638"</f>
        <v>644020240512225341171638</v>
      </c>
      <c r="F7369" s="9"/>
    </row>
    <row r="7370" s="2" customFormat="1" ht="30" customHeight="1" spans="1:6">
      <c r="A7370" s="9">
        <v>7367</v>
      </c>
      <c r="B7370" s="10" t="s">
        <v>7043</v>
      </c>
      <c r="C7370" s="10" t="s">
        <v>7044</v>
      </c>
      <c r="D7370" s="10" t="s">
        <v>7065</v>
      </c>
      <c r="E7370" s="10" t="str">
        <f>"644020240512163159170011"</f>
        <v>644020240512163159170011</v>
      </c>
      <c r="F7370" s="9"/>
    </row>
    <row r="7371" s="2" customFormat="1" ht="30" customHeight="1" spans="1:6">
      <c r="A7371" s="9">
        <v>7368</v>
      </c>
      <c r="B7371" s="10" t="s">
        <v>7043</v>
      </c>
      <c r="C7371" s="10" t="s">
        <v>7044</v>
      </c>
      <c r="D7371" s="10" t="s">
        <v>7066</v>
      </c>
      <c r="E7371" s="10" t="str">
        <f>"644020240512225604171649"</f>
        <v>644020240512225604171649</v>
      </c>
      <c r="F7371" s="9"/>
    </row>
    <row r="7372" s="2" customFormat="1" ht="30" customHeight="1" spans="1:6">
      <c r="A7372" s="9">
        <v>7369</v>
      </c>
      <c r="B7372" s="10" t="s">
        <v>7043</v>
      </c>
      <c r="C7372" s="10" t="s">
        <v>7044</v>
      </c>
      <c r="D7372" s="10" t="s">
        <v>7067</v>
      </c>
      <c r="E7372" s="10" t="str">
        <f>"644020240512230106171681"</f>
        <v>644020240512230106171681</v>
      </c>
      <c r="F7372" s="9"/>
    </row>
    <row r="7373" s="2" customFormat="1" ht="30" customHeight="1" spans="1:6">
      <c r="A7373" s="9">
        <v>7370</v>
      </c>
      <c r="B7373" s="10" t="s">
        <v>7043</v>
      </c>
      <c r="C7373" s="10" t="s">
        <v>7044</v>
      </c>
      <c r="D7373" s="10" t="s">
        <v>7068</v>
      </c>
      <c r="E7373" s="10" t="str">
        <f>"644020240512204322170902"</f>
        <v>644020240512204322170902</v>
      </c>
      <c r="F7373" s="9"/>
    </row>
    <row r="7374" s="2" customFormat="1" ht="30" customHeight="1" spans="1:6">
      <c r="A7374" s="9">
        <v>7371</v>
      </c>
      <c r="B7374" s="10" t="s">
        <v>7043</v>
      </c>
      <c r="C7374" s="10" t="s">
        <v>7044</v>
      </c>
      <c r="D7374" s="10" t="s">
        <v>7069</v>
      </c>
      <c r="E7374" s="10" t="str">
        <f>"644020240513000051171928"</f>
        <v>644020240513000051171928</v>
      </c>
      <c r="F7374" s="9"/>
    </row>
    <row r="7375" s="2" customFormat="1" ht="30" customHeight="1" spans="1:6">
      <c r="A7375" s="9">
        <v>7372</v>
      </c>
      <c r="B7375" s="10" t="s">
        <v>7043</v>
      </c>
      <c r="C7375" s="10" t="s">
        <v>7044</v>
      </c>
      <c r="D7375" s="10" t="s">
        <v>7070</v>
      </c>
      <c r="E7375" s="10" t="str">
        <f>"644020240513031138172075"</f>
        <v>644020240513031138172075</v>
      </c>
      <c r="F7375" s="9"/>
    </row>
    <row r="7376" s="2" customFormat="1" ht="30" customHeight="1" spans="1:6">
      <c r="A7376" s="9">
        <v>7373</v>
      </c>
      <c r="B7376" s="10" t="s">
        <v>7043</v>
      </c>
      <c r="C7376" s="10" t="s">
        <v>7044</v>
      </c>
      <c r="D7376" s="10" t="s">
        <v>7071</v>
      </c>
      <c r="E7376" s="10" t="str">
        <f>"644020240513074720172173"</f>
        <v>644020240513074720172173</v>
      </c>
      <c r="F7376" s="9"/>
    </row>
    <row r="7377" s="2" customFormat="1" ht="30" customHeight="1" spans="1:6">
      <c r="A7377" s="9">
        <v>7374</v>
      </c>
      <c r="B7377" s="10" t="s">
        <v>7043</v>
      </c>
      <c r="C7377" s="10" t="s">
        <v>7044</v>
      </c>
      <c r="D7377" s="10" t="s">
        <v>7072</v>
      </c>
      <c r="E7377" s="10" t="str">
        <f>"644020240513085108172428"</f>
        <v>644020240513085108172428</v>
      </c>
      <c r="F7377" s="9"/>
    </row>
    <row r="7378" s="2" customFormat="1" ht="30" customHeight="1" spans="1:6">
      <c r="A7378" s="9">
        <v>7375</v>
      </c>
      <c r="B7378" s="10" t="s">
        <v>7043</v>
      </c>
      <c r="C7378" s="10" t="s">
        <v>7044</v>
      </c>
      <c r="D7378" s="10" t="s">
        <v>7073</v>
      </c>
      <c r="E7378" s="10" t="str">
        <f>"644020240513083219172308"</f>
        <v>644020240513083219172308</v>
      </c>
      <c r="F7378" s="9"/>
    </row>
    <row r="7379" s="2" customFormat="1" ht="30" customHeight="1" spans="1:6">
      <c r="A7379" s="9">
        <v>7376</v>
      </c>
      <c r="B7379" s="10" t="s">
        <v>7043</v>
      </c>
      <c r="C7379" s="10" t="s">
        <v>7044</v>
      </c>
      <c r="D7379" s="10" t="s">
        <v>367</v>
      </c>
      <c r="E7379" s="10" t="str">
        <f>"644020240512093429168261"</f>
        <v>644020240512093429168261</v>
      </c>
      <c r="F7379" s="9"/>
    </row>
    <row r="7380" s="2" customFormat="1" ht="30" customHeight="1" spans="1:6">
      <c r="A7380" s="9">
        <v>7377</v>
      </c>
      <c r="B7380" s="10" t="s">
        <v>7043</v>
      </c>
      <c r="C7380" s="10" t="s">
        <v>7044</v>
      </c>
      <c r="D7380" s="10" t="s">
        <v>7074</v>
      </c>
      <c r="E7380" s="10" t="str">
        <f>"644020240513083617172329"</f>
        <v>644020240513083617172329</v>
      </c>
      <c r="F7380" s="9"/>
    </row>
    <row r="7381" s="2" customFormat="1" ht="30" customHeight="1" spans="1:6">
      <c r="A7381" s="9">
        <v>7378</v>
      </c>
      <c r="B7381" s="10" t="s">
        <v>7043</v>
      </c>
      <c r="C7381" s="10" t="s">
        <v>7044</v>
      </c>
      <c r="D7381" s="10" t="s">
        <v>7075</v>
      </c>
      <c r="E7381" s="10" t="str">
        <f>"644020240513085133172430"</f>
        <v>644020240513085133172430</v>
      </c>
      <c r="F7381" s="9"/>
    </row>
    <row r="7382" s="2" customFormat="1" ht="30" customHeight="1" spans="1:6">
      <c r="A7382" s="9">
        <v>7379</v>
      </c>
      <c r="B7382" s="10" t="s">
        <v>7043</v>
      </c>
      <c r="C7382" s="10" t="s">
        <v>7044</v>
      </c>
      <c r="D7382" s="10" t="s">
        <v>7076</v>
      </c>
      <c r="E7382" s="10" t="str">
        <f>"644020240513085716172455"</f>
        <v>644020240513085716172455</v>
      </c>
      <c r="F7382" s="9"/>
    </row>
    <row r="7383" s="2" customFormat="1" ht="30" customHeight="1" spans="1:6">
      <c r="A7383" s="9">
        <v>7380</v>
      </c>
      <c r="B7383" s="10" t="s">
        <v>7043</v>
      </c>
      <c r="C7383" s="10" t="s">
        <v>7044</v>
      </c>
      <c r="D7383" s="10" t="s">
        <v>7077</v>
      </c>
      <c r="E7383" s="10" t="str">
        <f>"644020240513082104172255"</f>
        <v>644020240513082104172255</v>
      </c>
      <c r="F7383" s="9"/>
    </row>
    <row r="7384" s="2" customFormat="1" ht="30" customHeight="1" spans="1:6">
      <c r="A7384" s="9">
        <v>7381</v>
      </c>
      <c r="B7384" s="10" t="s">
        <v>7043</v>
      </c>
      <c r="C7384" s="10" t="s">
        <v>7044</v>
      </c>
      <c r="D7384" s="10" t="s">
        <v>7078</v>
      </c>
      <c r="E7384" s="10" t="str">
        <f>"644020240513103955173504"</f>
        <v>644020240513103955173504</v>
      </c>
      <c r="F7384" s="9"/>
    </row>
    <row r="7385" s="2" customFormat="1" ht="30" customHeight="1" spans="1:6">
      <c r="A7385" s="9">
        <v>7382</v>
      </c>
      <c r="B7385" s="10" t="s">
        <v>7043</v>
      </c>
      <c r="C7385" s="10" t="s">
        <v>7044</v>
      </c>
      <c r="D7385" s="10" t="s">
        <v>7079</v>
      </c>
      <c r="E7385" s="10" t="str">
        <f>"644020240513110032173697"</f>
        <v>644020240513110032173697</v>
      </c>
      <c r="F7385" s="9"/>
    </row>
    <row r="7386" s="2" customFormat="1" ht="30" customHeight="1" spans="1:6">
      <c r="A7386" s="9">
        <v>7383</v>
      </c>
      <c r="B7386" s="10" t="s">
        <v>7043</v>
      </c>
      <c r="C7386" s="10" t="s">
        <v>7044</v>
      </c>
      <c r="D7386" s="10" t="s">
        <v>7080</v>
      </c>
      <c r="E7386" s="10" t="str">
        <f>"644020240512132807169354"</f>
        <v>644020240512132807169354</v>
      </c>
      <c r="F7386" s="9"/>
    </row>
    <row r="7387" s="2" customFormat="1" ht="30" customHeight="1" spans="1:6">
      <c r="A7387" s="9">
        <v>7384</v>
      </c>
      <c r="B7387" s="10" t="s">
        <v>7043</v>
      </c>
      <c r="C7387" s="10" t="s">
        <v>7044</v>
      </c>
      <c r="D7387" s="10" t="s">
        <v>7081</v>
      </c>
      <c r="E7387" s="10" t="str">
        <f>"644020240513101304173241"</f>
        <v>644020240513101304173241</v>
      </c>
      <c r="F7387" s="9"/>
    </row>
    <row r="7388" s="2" customFormat="1" ht="30" customHeight="1" spans="1:6">
      <c r="A7388" s="9">
        <v>7385</v>
      </c>
      <c r="B7388" s="10" t="s">
        <v>7043</v>
      </c>
      <c r="C7388" s="10" t="s">
        <v>7044</v>
      </c>
      <c r="D7388" s="10" t="s">
        <v>7082</v>
      </c>
      <c r="E7388" s="10" t="str">
        <f>"644020240512090331168106"</f>
        <v>644020240512090331168106</v>
      </c>
      <c r="F7388" s="9"/>
    </row>
    <row r="7389" s="2" customFormat="1" ht="30" customHeight="1" spans="1:6">
      <c r="A7389" s="9">
        <v>7386</v>
      </c>
      <c r="B7389" s="10" t="s">
        <v>7043</v>
      </c>
      <c r="C7389" s="10" t="s">
        <v>7044</v>
      </c>
      <c r="D7389" s="10" t="s">
        <v>7083</v>
      </c>
      <c r="E7389" s="10" t="str">
        <f>"644020240513110956173777"</f>
        <v>644020240513110956173777</v>
      </c>
      <c r="F7389" s="9"/>
    </row>
    <row r="7390" s="2" customFormat="1" ht="30" customHeight="1" spans="1:6">
      <c r="A7390" s="9">
        <v>7387</v>
      </c>
      <c r="B7390" s="10" t="s">
        <v>7043</v>
      </c>
      <c r="C7390" s="10" t="s">
        <v>7044</v>
      </c>
      <c r="D7390" s="10" t="s">
        <v>7084</v>
      </c>
      <c r="E7390" s="10" t="str">
        <f>"644020240513103353173459"</f>
        <v>644020240513103353173459</v>
      </c>
      <c r="F7390" s="9"/>
    </row>
    <row r="7391" s="2" customFormat="1" ht="30" customHeight="1" spans="1:6">
      <c r="A7391" s="9">
        <v>7388</v>
      </c>
      <c r="B7391" s="10" t="s">
        <v>7043</v>
      </c>
      <c r="C7391" s="10" t="s">
        <v>7044</v>
      </c>
      <c r="D7391" s="10" t="s">
        <v>7085</v>
      </c>
      <c r="E7391" s="10" t="str">
        <f>"644020240513111622173846"</f>
        <v>644020240513111622173846</v>
      </c>
      <c r="F7391" s="9"/>
    </row>
    <row r="7392" s="2" customFormat="1" ht="30" customHeight="1" spans="1:6">
      <c r="A7392" s="9">
        <v>7389</v>
      </c>
      <c r="B7392" s="10" t="s">
        <v>7043</v>
      </c>
      <c r="C7392" s="10" t="s">
        <v>7044</v>
      </c>
      <c r="D7392" s="10" t="s">
        <v>7086</v>
      </c>
      <c r="E7392" s="10" t="str">
        <f>"644020240513094632172974"</f>
        <v>644020240513094632172974</v>
      </c>
      <c r="F7392" s="9"/>
    </row>
    <row r="7393" s="2" customFormat="1" ht="30" customHeight="1" spans="1:6">
      <c r="A7393" s="9">
        <v>7390</v>
      </c>
      <c r="B7393" s="10" t="s">
        <v>7043</v>
      </c>
      <c r="C7393" s="10" t="s">
        <v>7044</v>
      </c>
      <c r="D7393" s="10" t="s">
        <v>7087</v>
      </c>
      <c r="E7393" s="10" t="str">
        <f>"644020240513120717174175"</f>
        <v>644020240513120717174175</v>
      </c>
      <c r="F7393" s="9"/>
    </row>
    <row r="7394" s="2" customFormat="1" ht="30" customHeight="1" spans="1:6">
      <c r="A7394" s="9">
        <v>7391</v>
      </c>
      <c r="B7394" s="10" t="s">
        <v>7043</v>
      </c>
      <c r="C7394" s="10" t="s">
        <v>7044</v>
      </c>
      <c r="D7394" s="10" t="s">
        <v>7088</v>
      </c>
      <c r="E7394" s="10" t="str">
        <f>"644020240513151949175364"</f>
        <v>644020240513151949175364</v>
      </c>
      <c r="F7394" s="9"/>
    </row>
    <row r="7395" s="2" customFormat="1" ht="30" customHeight="1" spans="1:6">
      <c r="A7395" s="9">
        <v>7392</v>
      </c>
      <c r="B7395" s="10" t="s">
        <v>7043</v>
      </c>
      <c r="C7395" s="10" t="s">
        <v>7044</v>
      </c>
      <c r="D7395" s="10" t="s">
        <v>7089</v>
      </c>
      <c r="E7395" s="10" t="str">
        <f>"644020240513153243175492"</f>
        <v>644020240513153243175492</v>
      </c>
      <c r="F7395" s="9"/>
    </row>
    <row r="7396" s="2" customFormat="1" ht="30" customHeight="1" spans="1:6">
      <c r="A7396" s="9">
        <v>7393</v>
      </c>
      <c r="B7396" s="10" t="s">
        <v>7043</v>
      </c>
      <c r="C7396" s="10" t="s">
        <v>7044</v>
      </c>
      <c r="D7396" s="10" t="s">
        <v>6746</v>
      </c>
      <c r="E7396" s="10" t="str">
        <f>"644020240513152842175450"</f>
        <v>644020240513152842175450</v>
      </c>
      <c r="F7396" s="9"/>
    </row>
    <row r="7397" s="2" customFormat="1" ht="30" customHeight="1" spans="1:6">
      <c r="A7397" s="9">
        <v>7394</v>
      </c>
      <c r="B7397" s="10" t="s">
        <v>7043</v>
      </c>
      <c r="C7397" s="10" t="s">
        <v>7044</v>
      </c>
      <c r="D7397" s="10" t="s">
        <v>7090</v>
      </c>
      <c r="E7397" s="10" t="str">
        <f>"644020240513151959175367"</f>
        <v>644020240513151959175367</v>
      </c>
      <c r="F7397" s="9"/>
    </row>
    <row r="7398" s="2" customFormat="1" ht="30" customHeight="1" spans="1:6">
      <c r="A7398" s="9">
        <v>7395</v>
      </c>
      <c r="B7398" s="10" t="s">
        <v>7043</v>
      </c>
      <c r="C7398" s="10" t="s">
        <v>7044</v>
      </c>
      <c r="D7398" s="10" t="s">
        <v>7091</v>
      </c>
      <c r="E7398" s="10" t="str">
        <f>"644020240512161522169940"</f>
        <v>644020240512161522169940</v>
      </c>
      <c r="F7398" s="9"/>
    </row>
    <row r="7399" s="2" customFormat="1" ht="30" customHeight="1" spans="1:6">
      <c r="A7399" s="9">
        <v>7396</v>
      </c>
      <c r="B7399" s="10" t="s">
        <v>7043</v>
      </c>
      <c r="C7399" s="10" t="s">
        <v>7044</v>
      </c>
      <c r="D7399" s="10" t="s">
        <v>7092</v>
      </c>
      <c r="E7399" s="10" t="str">
        <f>"644020240512104749168660"</f>
        <v>644020240512104749168660</v>
      </c>
      <c r="F7399" s="9"/>
    </row>
    <row r="7400" s="2" customFormat="1" ht="30" customHeight="1" spans="1:6">
      <c r="A7400" s="9">
        <v>7397</v>
      </c>
      <c r="B7400" s="10" t="s">
        <v>7043</v>
      </c>
      <c r="C7400" s="10" t="s">
        <v>7044</v>
      </c>
      <c r="D7400" s="10" t="s">
        <v>7093</v>
      </c>
      <c r="E7400" s="10" t="str">
        <f>"644020240512201326170764"</f>
        <v>644020240512201326170764</v>
      </c>
      <c r="F7400" s="9"/>
    </row>
    <row r="7401" s="2" customFormat="1" ht="30" customHeight="1" spans="1:6">
      <c r="A7401" s="9">
        <v>7398</v>
      </c>
      <c r="B7401" s="10" t="s">
        <v>7043</v>
      </c>
      <c r="C7401" s="10" t="s">
        <v>7044</v>
      </c>
      <c r="D7401" s="10" t="s">
        <v>7094</v>
      </c>
      <c r="E7401" s="10" t="str">
        <f>"644020240512103407168586"</f>
        <v>644020240512103407168586</v>
      </c>
      <c r="F7401" s="9"/>
    </row>
    <row r="7402" s="2" customFormat="1" ht="30" customHeight="1" spans="1:6">
      <c r="A7402" s="9">
        <v>7399</v>
      </c>
      <c r="B7402" s="10" t="s">
        <v>7043</v>
      </c>
      <c r="C7402" s="10" t="s">
        <v>7044</v>
      </c>
      <c r="D7402" s="10" t="s">
        <v>7095</v>
      </c>
      <c r="E7402" s="10" t="str">
        <f>"644020240513175900176336"</f>
        <v>644020240513175900176336</v>
      </c>
      <c r="F7402" s="9"/>
    </row>
    <row r="7403" s="2" customFormat="1" ht="30" customHeight="1" spans="1:6">
      <c r="A7403" s="9">
        <v>7400</v>
      </c>
      <c r="B7403" s="10" t="s">
        <v>7043</v>
      </c>
      <c r="C7403" s="10" t="s">
        <v>7044</v>
      </c>
      <c r="D7403" s="10" t="s">
        <v>7096</v>
      </c>
      <c r="E7403" s="10" t="str">
        <f>"644020240513175827176333"</f>
        <v>644020240513175827176333</v>
      </c>
      <c r="F7403" s="9"/>
    </row>
    <row r="7404" s="2" customFormat="1" ht="30" customHeight="1" spans="1:6">
      <c r="A7404" s="9">
        <v>7401</v>
      </c>
      <c r="B7404" s="10" t="s">
        <v>7043</v>
      </c>
      <c r="C7404" s="10" t="s">
        <v>7044</v>
      </c>
      <c r="D7404" s="10" t="s">
        <v>7097</v>
      </c>
      <c r="E7404" s="10" t="str">
        <f>"644020240513111311173812"</f>
        <v>644020240513111311173812</v>
      </c>
      <c r="F7404" s="9"/>
    </row>
    <row r="7405" s="2" customFormat="1" ht="30" customHeight="1" spans="1:6">
      <c r="A7405" s="9">
        <v>7402</v>
      </c>
      <c r="B7405" s="10" t="s">
        <v>7043</v>
      </c>
      <c r="C7405" s="10" t="s">
        <v>7044</v>
      </c>
      <c r="D7405" s="10" t="s">
        <v>7098</v>
      </c>
      <c r="E7405" s="10" t="str">
        <f>"644020240513103239173449"</f>
        <v>644020240513103239173449</v>
      </c>
      <c r="F7405" s="9"/>
    </row>
    <row r="7406" s="2" customFormat="1" ht="30" customHeight="1" spans="1:6">
      <c r="A7406" s="9">
        <v>7403</v>
      </c>
      <c r="B7406" s="10" t="s">
        <v>7043</v>
      </c>
      <c r="C7406" s="10" t="s">
        <v>7044</v>
      </c>
      <c r="D7406" s="10" t="s">
        <v>7099</v>
      </c>
      <c r="E7406" s="10" t="str">
        <f>"644020240513194656176679"</f>
        <v>644020240513194656176679</v>
      </c>
      <c r="F7406" s="9"/>
    </row>
    <row r="7407" s="2" customFormat="1" ht="30" customHeight="1" spans="1:6">
      <c r="A7407" s="9">
        <v>7404</v>
      </c>
      <c r="B7407" s="10" t="s">
        <v>7043</v>
      </c>
      <c r="C7407" s="10" t="s">
        <v>7044</v>
      </c>
      <c r="D7407" s="10" t="s">
        <v>7100</v>
      </c>
      <c r="E7407" s="10" t="str">
        <f>"644020240513202720176816"</f>
        <v>644020240513202720176816</v>
      </c>
      <c r="F7407" s="9"/>
    </row>
    <row r="7408" s="2" customFormat="1" ht="30" customHeight="1" spans="1:6">
      <c r="A7408" s="9">
        <v>7405</v>
      </c>
      <c r="B7408" s="10" t="s">
        <v>7043</v>
      </c>
      <c r="C7408" s="10" t="s">
        <v>7044</v>
      </c>
      <c r="D7408" s="10" t="s">
        <v>7101</v>
      </c>
      <c r="E7408" s="10" t="str">
        <f>"644020240513202255176799"</f>
        <v>644020240513202255176799</v>
      </c>
      <c r="F7408" s="9"/>
    </row>
    <row r="7409" s="2" customFormat="1" ht="30" customHeight="1" spans="1:6">
      <c r="A7409" s="9">
        <v>7406</v>
      </c>
      <c r="B7409" s="10" t="s">
        <v>7043</v>
      </c>
      <c r="C7409" s="10" t="s">
        <v>7044</v>
      </c>
      <c r="D7409" s="10" t="s">
        <v>7102</v>
      </c>
      <c r="E7409" s="10" t="str">
        <f>"644020240513095955173117"</f>
        <v>644020240513095955173117</v>
      </c>
      <c r="F7409" s="9"/>
    </row>
    <row r="7410" s="2" customFormat="1" ht="30" customHeight="1" spans="1:6">
      <c r="A7410" s="9">
        <v>7407</v>
      </c>
      <c r="B7410" s="10" t="s">
        <v>7043</v>
      </c>
      <c r="C7410" s="10" t="s">
        <v>7044</v>
      </c>
      <c r="D7410" s="10" t="s">
        <v>7103</v>
      </c>
      <c r="E7410" s="10" t="str">
        <f>"644020240513211707177033"</f>
        <v>644020240513211707177033</v>
      </c>
      <c r="F7410" s="9"/>
    </row>
    <row r="7411" s="2" customFormat="1" ht="30" customHeight="1" spans="1:6">
      <c r="A7411" s="9">
        <v>7408</v>
      </c>
      <c r="B7411" s="10" t="s">
        <v>7043</v>
      </c>
      <c r="C7411" s="10" t="s">
        <v>7044</v>
      </c>
      <c r="D7411" s="10" t="s">
        <v>7104</v>
      </c>
      <c r="E7411" s="10" t="str">
        <f>"644020240513220645177258"</f>
        <v>644020240513220645177258</v>
      </c>
      <c r="F7411" s="9"/>
    </row>
    <row r="7412" s="2" customFormat="1" ht="30" customHeight="1" spans="1:6">
      <c r="A7412" s="9">
        <v>7409</v>
      </c>
      <c r="B7412" s="10" t="s">
        <v>7043</v>
      </c>
      <c r="C7412" s="10" t="s">
        <v>7044</v>
      </c>
      <c r="D7412" s="10" t="s">
        <v>7105</v>
      </c>
      <c r="E7412" s="10" t="str">
        <f>"644020240513173924176275"</f>
        <v>644020240513173924176275</v>
      </c>
      <c r="F7412" s="9"/>
    </row>
    <row r="7413" s="2" customFormat="1" ht="30" customHeight="1" spans="1:6">
      <c r="A7413" s="9">
        <v>7410</v>
      </c>
      <c r="B7413" s="10" t="s">
        <v>7043</v>
      </c>
      <c r="C7413" s="10" t="s">
        <v>7044</v>
      </c>
      <c r="D7413" s="10" t="s">
        <v>7106</v>
      </c>
      <c r="E7413" s="10" t="str">
        <f>"644020240513214315177136"</f>
        <v>644020240513214315177136</v>
      </c>
      <c r="F7413" s="9"/>
    </row>
    <row r="7414" s="2" customFormat="1" ht="30" customHeight="1" spans="1:6">
      <c r="A7414" s="9">
        <v>7411</v>
      </c>
      <c r="B7414" s="10" t="s">
        <v>7043</v>
      </c>
      <c r="C7414" s="10" t="s">
        <v>7044</v>
      </c>
      <c r="D7414" s="10" t="s">
        <v>7107</v>
      </c>
      <c r="E7414" s="10" t="str">
        <f>"644020240514000621177647"</f>
        <v>644020240514000621177647</v>
      </c>
      <c r="F7414" s="9"/>
    </row>
    <row r="7415" s="2" customFormat="1" ht="30" customHeight="1" spans="1:6">
      <c r="A7415" s="9">
        <v>7412</v>
      </c>
      <c r="B7415" s="10" t="s">
        <v>7043</v>
      </c>
      <c r="C7415" s="10" t="s">
        <v>7044</v>
      </c>
      <c r="D7415" s="10" t="s">
        <v>7108</v>
      </c>
      <c r="E7415" s="10" t="str">
        <f>"644020240514002428177671"</f>
        <v>644020240514002428177671</v>
      </c>
      <c r="F7415" s="9"/>
    </row>
    <row r="7416" s="2" customFormat="1" ht="30" customHeight="1" spans="1:6">
      <c r="A7416" s="9">
        <v>7413</v>
      </c>
      <c r="B7416" s="10" t="s">
        <v>7043</v>
      </c>
      <c r="C7416" s="10" t="s">
        <v>7044</v>
      </c>
      <c r="D7416" s="10" t="s">
        <v>7109</v>
      </c>
      <c r="E7416" s="10" t="str">
        <f>"644020240513192254176588"</f>
        <v>644020240513192254176588</v>
      </c>
      <c r="F7416" s="9"/>
    </row>
    <row r="7417" s="2" customFormat="1" ht="30" customHeight="1" spans="1:6">
      <c r="A7417" s="9">
        <v>7414</v>
      </c>
      <c r="B7417" s="10" t="s">
        <v>7043</v>
      </c>
      <c r="C7417" s="10" t="s">
        <v>7044</v>
      </c>
      <c r="D7417" s="10" t="s">
        <v>7110</v>
      </c>
      <c r="E7417" s="10" t="str">
        <f>"644020240514084124177884"</f>
        <v>644020240514084124177884</v>
      </c>
      <c r="F7417" s="9"/>
    </row>
    <row r="7418" s="2" customFormat="1" ht="30" customHeight="1" spans="1:6">
      <c r="A7418" s="9">
        <v>7415</v>
      </c>
      <c r="B7418" s="10" t="s">
        <v>7043</v>
      </c>
      <c r="C7418" s="10" t="s">
        <v>7044</v>
      </c>
      <c r="D7418" s="10" t="s">
        <v>7111</v>
      </c>
      <c r="E7418" s="10" t="str">
        <f>"644020240512133847169395"</f>
        <v>644020240512133847169395</v>
      </c>
      <c r="F7418" s="9"/>
    </row>
    <row r="7419" s="2" customFormat="1" ht="30" customHeight="1" spans="1:6">
      <c r="A7419" s="9">
        <v>7416</v>
      </c>
      <c r="B7419" s="10" t="s">
        <v>7043</v>
      </c>
      <c r="C7419" s="10" t="s">
        <v>7044</v>
      </c>
      <c r="D7419" s="10" t="s">
        <v>7112</v>
      </c>
      <c r="E7419" s="10" t="str">
        <f>"644020240514090917178012"</f>
        <v>644020240514090917178012</v>
      </c>
      <c r="F7419" s="9"/>
    </row>
    <row r="7420" s="2" customFormat="1" ht="30" customHeight="1" spans="1:6">
      <c r="A7420" s="9">
        <v>7417</v>
      </c>
      <c r="B7420" s="10" t="s">
        <v>7043</v>
      </c>
      <c r="C7420" s="10" t="s">
        <v>7044</v>
      </c>
      <c r="D7420" s="10" t="s">
        <v>7113</v>
      </c>
      <c r="E7420" s="10" t="str">
        <f>"644020240514091807178053"</f>
        <v>644020240514091807178053</v>
      </c>
      <c r="F7420" s="9"/>
    </row>
    <row r="7421" s="2" customFormat="1" ht="30" customHeight="1" spans="1:6">
      <c r="A7421" s="9">
        <v>7418</v>
      </c>
      <c r="B7421" s="10" t="s">
        <v>7043</v>
      </c>
      <c r="C7421" s="10" t="s">
        <v>7044</v>
      </c>
      <c r="D7421" s="10" t="s">
        <v>7114</v>
      </c>
      <c r="E7421" s="10" t="str">
        <f>"644020240514104806178545"</f>
        <v>644020240514104806178545</v>
      </c>
      <c r="F7421" s="9"/>
    </row>
    <row r="7422" s="2" customFormat="1" ht="30" customHeight="1" spans="1:6">
      <c r="A7422" s="9">
        <v>7419</v>
      </c>
      <c r="B7422" s="10" t="s">
        <v>7043</v>
      </c>
      <c r="C7422" s="10" t="s">
        <v>7044</v>
      </c>
      <c r="D7422" s="10" t="s">
        <v>7115</v>
      </c>
      <c r="E7422" s="10" t="str">
        <f>"644020240514102226178386"</f>
        <v>644020240514102226178386</v>
      </c>
      <c r="F7422" s="9"/>
    </row>
    <row r="7423" s="2" customFormat="1" ht="30" customHeight="1" spans="1:6">
      <c r="A7423" s="9">
        <v>7420</v>
      </c>
      <c r="B7423" s="10" t="s">
        <v>7043</v>
      </c>
      <c r="C7423" s="10" t="s">
        <v>7044</v>
      </c>
      <c r="D7423" s="10" t="s">
        <v>7116</v>
      </c>
      <c r="E7423" s="10" t="str">
        <f>"644020240514115451178810"</f>
        <v>644020240514115451178810</v>
      </c>
      <c r="F7423" s="9"/>
    </row>
    <row r="7424" s="2" customFormat="1" ht="30" customHeight="1" spans="1:6">
      <c r="A7424" s="9">
        <v>7421</v>
      </c>
      <c r="B7424" s="10" t="s">
        <v>7043</v>
      </c>
      <c r="C7424" s="10" t="s">
        <v>7044</v>
      </c>
      <c r="D7424" s="10" t="s">
        <v>7117</v>
      </c>
      <c r="E7424" s="10" t="str">
        <f>"644020240513153847175551"</f>
        <v>644020240513153847175551</v>
      </c>
      <c r="F7424" s="9"/>
    </row>
    <row r="7425" s="2" customFormat="1" ht="30" customHeight="1" spans="1:6">
      <c r="A7425" s="9">
        <v>7422</v>
      </c>
      <c r="B7425" s="10" t="s">
        <v>7043</v>
      </c>
      <c r="C7425" s="10" t="s">
        <v>7044</v>
      </c>
      <c r="D7425" s="10" t="s">
        <v>7118</v>
      </c>
      <c r="E7425" s="10" t="str">
        <f>"644020240514123528178905"</f>
        <v>644020240514123528178905</v>
      </c>
      <c r="F7425" s="9"/>
    </row>
    <row r="7426" s="2" customFormat="1" ht="30" customHeight="1" spans="1:6">
      <c r="A7426" s="9">
        <v>7423</v>
      </c>
      <c r="B7426" s="10" t="s">
        <v>7043</v>
      </c>
      <c r="C7426" s="10" t="s">
        <v>7044</v>
      </c>
      <c r="D7426" s="10" t="s">
        <v>7119</v>
      </c>
      <c r="E7426" s="10" t="str">
        <f>"644020240514122428178886"</f>
        <v>644020240514122428178886</v>
      </c>
      <c r="F7426" s="9"/>
    </row>
    <row r="7427" s="2" customFormat="1" ht="30" customHeight="1" spans="1:6">
      <c r="A7427" s="9">
        <v>7424</v>
      </c>
      <c r="B7427" s="10" t="s">
        <v>7043</v>
      </c>
      <c r="C7427" s="10" t="s">
        <v>7044</v>
      </c>
      <c r="D7427" s="10" t="s">
        <v>7120</v>
      </c>
      <c r="E7427" s="10" t="str">
        <f>"644020240514130109178959"</f>
        <v>644020240514130109178959</v>
      </c>
      <c r="F7427" s="9"/>
    </row>
    <row r="7428" s="2" customFormat="1" ht="30" customHeight="1" spans="1:6">
      <c r="A7428" s="9">
        <v>7425</v>
      </c>
      <c r="B7428" s="10" t="s">
        <v>7043</v>
      </c>
      <c r="C7428" s="10" t="s">
        <v>7044</v>
      </c>
      <c r="D7428" s="10" t="s">
        <v>7121</v>
      </c>
      <c r="E7428" s="10" t="str">
        <f>"644020240514130423178968"</f>
        <v>644020240514130423178968</v>
      </c>
      <c r="F7428" s="9"/>
    </row>
    <row r="7429" s="2" customFormat="1" ht="30" customHeight="1" spans="1:6">
      <c r="A7429" s="9">
        <v>7426</v>
      </c>
      <c r="B7429" s="10" t="s">
        <v>7043</v>
      </c>
      <c r="C7429" s="10" t="s">
        <v>7044</v>
      </c>
      <c r="D7429" s="10" t="s">
        <v>7122</v>
      </c>
      <c r="E7429" s="10" t="str">
        <f>"644020240514131300178990"</f>
        <v>644020240514131300178990</v>
      </c>
      <c r="F7429" s="9"/>
    </row>
    <row r="7430" s="2" customFormat="1" ht="30" customHeight="1" spans="1:6">
      <c r="A7430" s="9">
        <v>7427</v>
      </c>
      <c r="B7430" s="10" t="s">
        <v>7043</v>
      </c>
      <c r="C7430" s="10" t="s">
        <v>7044</v>
      </c>
      <c r="D7430" s="10" t="s">
        <v>7123</v>
      </c>
      <c r="E7430" s="10" t="str">
        <f>"644020240514144049179150"</f>
        <v>644020240514144049179150</v>
      </c>
      <c r="F7430" s="9"/>
    </row>
    <row r="7431" s="2" customFormat="1" ht="30" customHeight="1" spans="1:6">
      <c r="A7431" s="9">
        <v>7428</v>
      </c>
      <c r="B7431" s="10" t="s">
        <v>7043</v>
      </c>
      <c r="C7431" s="10" t="s">
        <v>7044</v>
      </c>
      <c r="D7431" s="10" t="s">
        <v>7124</v>
      </c>
      <c r="E7431" s="10" t="str">
        <f>"644020240512140224169461"</f>
        <v>644020240512140224169461</v>
      </c>
      <c r="F7431" s="9"/>
    </row>
    <row r="7432" s="2" customFormat="1" ht="30" customHeight="1" spans="1:6">
      <c r="A7432" s="9">
        <v>7429</v>
      </c>
      <c r="B7432" s="10" t="s">
        <v>7043</v>
      </c>
      <c r="C7432" s="10" t="s">
        <v>7044</v>
      </c>
      <c r="D7432" s="10" t="s">
        <v>7125</v>
      </c>
      <c r="E7432" s="10" t="str">
        <f>"644020240514153856179336"</f>
        <v>644020240514153856179336</v>
      </c>
      <c r="F7432" s="9"/>
    </row>
    <row r="7433" s="2" customFormat="1" ht="30" customHeight="1" spans="1:6">
      <c r="A7433" s="9">
        <v>7430</v>
      </c>
      <c r="B7433" s="10" t="s">
        <v>7043</v>
      </c>
      <c r="C7433" s="10" t="s">
        <v>7044</v>
      </c>
      <c r="D7433" s="10" t="s">
        <v>7126</v>
      </c>
      <c r="E7433" s="10" t="str">
        <f>"644020240514152913179295"</f>
        <v>644020240514152913179295</v>
      </c>
      <c r="F7433" s="9"/>
    </row>
    <row r="7434" s="2" customFormat="1" ht="30" customHeight="1" spans="1:6">
      <c r="A7434" s="9">
        <v>7431</v>
      </c>
      <c r="B7434" s="10" t="s">
        <v>7043</v>
      </c>
      <c r="C7434" s="10" t="s">
        <v>7044</v>
      </c>
      <c r="D7434" s="10" t="s">
        <v>7127</v>
      </c>
      <c r="E7434" s="10" t="str">
        <f>"644020240514171932179679"</f>
        <v>644020240514171932179679</v>
      </c>
      <c r="F7434" s="9"/>
    </row>
    <row r="7435" s="2" customFormat="1" ht="30" customHeight="1" spans="1:6">
      <c r="A7435" s="9">
        <v>7432</v>
      </c>
      <c r="B7435" s="10" t="s">
        <v>7043</v>
      </c>
      <c r="C7435" s="10" t="s">
        <v>7044</v>
      </c>
      <c r="D7435" s="10" t="s">
        <v>7128</v>
      </c>
      <c r="E7435" s="10" t="str">
        <f>"644020240514165617179595"</f>
        <v>644020240514165617179595</v>
      </c>
      <c r="F7435" s="9"/>
    </row>
    <row r="7436" s="2" customFormat="1" ht="30" customHeight="1" spans="1:6">
      <c r="A7436" s="9">
        <v>7433</v>
      </c>
      <c r="B7436" s="10" t="s">
        <v>7043</v>
      </c>
      <c r="C7436" s="10" t="s">
        <v>7044</v>
      </c>
      <c r="D7436" s="10" t="s">
        <v>7129</v>
      </c>
      <c r="E7436" s="10" t="str">
        <f>"644020240514102950178432"</f>
        <v>644020240514102950178432</v>
      </c>
      <c r="F7436" s="9"/>
    </row>
    <row r="7437" s="2" customFormat="1" ht="30" customHeight="1" spans="1:6">
      <c r="A7437" s="9">
        <v>7434</v>
      </c>
      <c r="B7437" s="10" t="s">
        <v>7043</v>
      </c>
      <c r="C7437" s="10" t="s">
        <v>7044</v>
      </c>
      <c r="D7437" s="10" t="s">
        <v>7130</v>
      </c>
      <c r="E7437" s="10" t="str">
        <f>"644020240513205248176930"</f>
        <v>644020240513205248176930</v>
      </c>
      <c r="F7437" s="9"/>
    </row>
    <row r="7438" s="2" customFormat="1" ht="30" customHeight="1" spans="1:6">
      <c r="A7438" s="9">
        <v>7435</v>
      </c>
      <c r="B7438" s="10" t="s">
        <v>7043</v>
      </c>
      <c r="C7438" s="10" t="s">
        <v>7044</v>
      </c>
      <c r="D7438" s="10" t="s">
        <v>7131</v>
      </c>
      <c r="E7438" s="10" t="str">
        <f>"644020240514183017179831"</f>
        <v>644020240514183017179831</v>
      </c>
      <c r="F7438" s="9"/>
    </row>
    <row r="7439" s="2" customFormat="1" ht="30" customHeight="1" spans="1:6">
      <c r="A7439" s="9">
        <v>7436</v>
      </c>
      <c r="B7439" s="10" t="s">
        <v>7043</v>
      </c>
      <c r="C7439" s="10" t="s">
        <v>7044</v>
      </c>
      <c r="D7439" s="10" t="s">
        <v>7132</v>
      </c>
      <c r="E7439" s="10" t="str">
        <f>"644020240514200134179964"</f>
        <v>644020240514200134179964</v>
      </c>
      <c r="F7439" s="9"/>
    </row>
    <row r="7440" s="2" customFormat="1" ht="30" customHeight="1" spans="1:6">
      <c r="A7440" s="9">
        <v>7437</v>
      </c>
      <c r="B7440" s="10" t="s">
        <v>7043</v>
      </c>
      <c r="C7440" s="10" t="s">
        <v>7044</v>
      </c>
      <c r="D7440" s="10" t="s">
        <v>5268</v>
      </c>
      <c r="E7440" s="10" t="str">
        <f>"644020240514200103179960"</f>
        <v>644020240514200103179960</v>
      </c>
      <c r="F7440" s="9"/>
    </row>
    <row r="7441" s="2" customFormat="1" ht="30" customHeight="1" spans="1:6">
      <c r="A7441" s="9">
        <v>7438</v>
      </c>
      <c r="B7441" s="10" t="s">
        <v>7043</v>
      </c>
      <c r="C7441" s="10" t="s">
        <v>7044</v>
      </c>
      <c r="D7441" s="10" t="s">
        <v>7133</v>
      </c>
      <c r="E7441" s="10" t="str">
        <f>"644020240514204152180048"</f>
        <v>644020240514204152180048</v>
      </c>
      <c r="F7441" s="9"/>
    </row>
    <row r="7442" s="2" customFormat="1" ht="30" customHeight="1" spans="1:6">
      <c r="A7442" s="9">
        <v>7439</v>
      </c>
      <c r="B7442" s="10" t="s">
        <v>7043</v>
      </c>
      <c r="C7442" s="10" t="s">
        <v>7044</v>
      </c>
      <c r="D7442" s="10" t="s">
        <v>7134</v>
      </c>
      <c r="E7442" s="10" t="str">
        <f>"644020240514205726180102"</f>
        <v>644020240514205726180102</v>
      </c>
      <c r="F7442" s="9"/>
    </row>
    <row r="7443" s="2" customFormat="1" ht="30" customHeight="1" spans="1:6">
      <c r="A7443" s="9">
        <v>7440</v>
      </c>
      <c r="B7443" s="10" t="s">
        <v>7043</v>
      </c>
      <c r="C7443" s="10" t="s">
        <v>7044</v>
      </c>
      <c r="D7443" s="10" t="s">
        <v>7135</v>
      </c>
      <c r="E7443" s="10" t="str">
        <f>"644020240514082947177859"</f>
        <v>644020240514082947177859</v>
      </c>
      <c r="F7443" s="9"/>
    </row>
    <row r="7444" s="2" customFormat="1" ht="30" customHeight="1" spans="1:6">
      <c r="A7444" s="9">
        <v>7441</v>
      </c>
      <c r="B7444" s="10" t="s">
        <v>7043</v>
      </c>
      <c r="C7444" s="10" t="s">
        <v>7044</v>
      </c>
      <c r="D7444" s="10" t="s">
        <v>7136</v>
      </c>
      <c r="E7444" s="10" t="str">
        <f>"644020240513193956176653"</f>
        <v>644020240513193956176653</v>
      </c>
      <c r="F7444" s="9"/>
    </row>
    <row r="7445" s="2" customFormat="1" ht="30" customHeight="1" spans="1:6">
      <c r="A7445" s="9">
        <v>7442</v>
      </c>
      <c r="B7445" s="10" t="s">
        <v>7043</v>
      </c>
      <c r="C7445" s="10" t="s">
        <v>7044</v>
      </c>
      <c r="D7445" s="10" t="s">
        <v>7137</v>
      </c>
      <c r="E7445" s="10" t="str">
        <f>"644020240512201947170797"</f>
        <v>644020240512201947170797</v>
      </c>
      <c r="F7445" s="9"/>
    </row>
    <row r="7446" s="2" customFormat="1" ht="30" customHeight="1" spans="1:6">
      <c r="A7446" s="9">
        <v>7443</v>
      </c>
      <c r="B7446" s="10" t="s">
        <v>7043</v>
      </c>
      <c r="C7446" s="10" t="s">
        <v>7044</v>
      </c>
      <c r="D7446" s="10" t="s">
        <v>7138</v>
      </c>
      <c r="E7446" s="10" t="str">
        <f>"644020240514223808180404"</f>
        <v>644020240514223808180404</v>
      </c>
      <c r="F7446" s="9"/>
    </row>
    <row r="7447" s="2" customFormat="1" ht="30" customHeight="1" spans="1:6">
      <c r="A7447" s="9">
        <v>7444</v>
      </c>
      <c r="B7447" s="10" t="s">
        <v>7043</v>
      </c>
      <c r="C7447" s="10" t="s">
        <v>7044</v>
      </c>
      <c r="D7447" s="10" t="s">
        <v>7139</v>
      </c>
      <c r="E7447" s="10" t="str">
        <f>"644020240514232658180517"</f>
        <v>644020240514232658180517</v>
      </c>
      <c r="F7447" s="9"/>
    </row>
    <row r="7448" s="2" customFormat="1" ht="30" customHeight="1" spans="1:6">
      <c r="A7448" s="9">
        <v>7445</v>
      </c>
      <c r="B7448" s="10" t="s">
        <v>7043</v>
      </c>
      <c r="C7448" s="10" t="s">
        <v>7044</v>
      </c>
      <c r="D7448" s="10" t="s">
        <v>7140</v>
      </c>
      <c r="E7448" s="10" t="str">
        <f>"644020240514162621179488"</f>
        <v>644020240514162621179488</v>
      </c>
      <c r="F7448" s="9"/>
    </row>
    <row r="7449" s="2" customFormat="1" ht="30" customHeight="1" spans="1:6">
      <c r="A7449" s="9">
        <v>7446</v>
      </c>
      <c r="B7449" s="10" t="s">
        <v>7043</v>
      </c>
      <c r="C7449" s="10" t="s">
        <v>7044</v>
      </c>
      <c r="D7449" s="10" t="s">
        <v>7141</v>
      </c>
      <c r="E7449" s="10" t="str">
        <f>"644020240515081816180682"</f>
        <v>644020240515081816180682</v>
      </c>
      <c r="F7449" s="9"/>
    </row>
    <row r="7450" s="2" customFormat="1" ht="30" customHeight="1" spans="1:6">
      <c r="A7450" s="9">
        <v>7447</v>
      </c>
      <c r="B7450" s="10" t="s">
        <v>7043</v>
      </c>
      <c r="C7450" s="10" t="s">
        <v>7044</v>
      </c>
      <c r="D7450" s="10" t="s">
        <v>7142</v>
      </c>
      <c r="E7450" s="10" t="str">
        <f>"644020240515091504180807"</f>
        <v>644020240515091504180807</v>
      </c>
      <c r="F7450" s="9"/>
    </row>
    <row r="7451" s="2" customFormat="1" ht="30" customHeight="1" spans="1:6">
      <c r="A7451" s="9">
        <v>7448</v>
      </c>
      <c r="B7451" s="10" t="s">
        <v>7043</v>
      </c>
      <c r="C7451" s="10" t="s">
        <v>7044</v>
      </c>
      <c r="D7451" s="10" t="s">
        <v>7143</v>
      </c>
      <c r="E7451" s="10" t="str">
        <f>"644020240515090142180768"</f>
        <v>644020240515090142180768</v>
      </c>
      <c r="F7451" s="9"/>
    </row>
    <row r="7452" s="2" customFormat="1" ht="30" customHeight="1" spans="1:6">
      <c r="A7452" s="9">
        <v>7449</v>
      </c>
      <c r="B7452" s="10" t="s">
        <v>7043</v>
      </c>
      <c r="C7452" s="10" t="s">
        <v>7044</v>
      </c>
      <c r="D7452" s="10" t="s">
        <v>7144</v>
      </c>
      <c r="E7452" s="10" t="str">
        <f>"644020240515092531180841"</f>
        <v>644020240515092531180841</v>
      </c>
      <c r="F7452" s="9"/>
    </row>
    <row r="7453" s="2" customFormat="1" ht="30" customHeight="1" spans="1:6">
      <c r="A7453" s="9">
        <v>7450</v>
      </c>
      <c r="B7453" s="10" t="s">
        <v>7043</v>
      </c>
      <c r="C7453" s="10" t="s">
        <v>7044</v>
      </c>
      <c r="D7453" s="10" t="s">
        <v>7145</v>
      </c>
      <c r="E7453" s="10" t="str">
        <f>"644020240515095039180913"</f>
        <v>644020240515095039180913</v>
      </c>
      <c r="F7453" s="9"/>
    </row>
    <row r="7454" s="2" customFormat="1" ht="30" customHeight="1" spans="1:6">
      <c r="A7454" s="9">
        <v>7451</v>
      </c>
      <c r="B7454" s="10" t="s">
        <v>7043</v>
      </c>
      <c r="C7454" s="10" t="s">
        <v>7044</v>
      </c>
      <c r="D7454" s="10" t="s">
        <v>7146</v>
      </c>
      <c r="E7454" s="10" t="str">
        <f>"644020240515095242180925"</f>
        <v>644020240515095242180925</v>
      </c>
      <c r="F7454" s="9"/>
    </row>
    <row r="7455" s="2" customFormat="1" ht="30" customHeight="1" spans="1:6">
      <c r="A7455" s="9">
        <v>7452</v>
      </c>
      <c r="B7455" s="10" t="s">
        <v>7043</v>
      </c>
      <c r="C7455" s="10" t="s">
        <v>7044</v>
      </c>
      <c r="D7455" s="10" t="s">
        <v>7147</v>
      </c>
      <c r="E7455" s="10" t="str">
        <f>"644020240515090936180771"</f>
        <v>644020240515090936180771</v>
      </c>
      <c r="F7455" s="9"/>
    </row>
    <row r="7456" s="2" customFormat="1" ht="30" customHeight="1" spans="1:6">
      <c r="A7456" s="9">
        <v>7453</v>
      </c>
      <c r="B7456" s="10" t="s">
        <v>7043</v>
      </c>
      <c r="C7456" s="10" t="s">
        <v>7044</v>
      </c>
      <c r="D7456" s="10" t="s">
        <v>7148</v>
      </c>
      <c r="E7456" s="10" t="str">
        <f>"644020240515091816180815"</f>
        <v>644020240515091816180815</v>
      </c>
      <c r="F7456" s="9"/>
    </row>
    <row r="7457" s="2" customFormat="1" ht="30" customHeight="1" spans="1:6">
      <c r="A7457" s="9">
        <v>7454</v>
      </c>
      <c r="B7457" s="10" t="s">
        <v>7043</v>
      </c>
      <c r="C7457" s="10" t="s">
        <v>7044</v>
      </c>
      <c r="D7457" s="10" t="s">
        <v>7149</v>
      </c>
      <c r="E7457" s="10" t="str">
        <f>"644020240515102344181020"</f>
        <v>644020240515102344181020</v>
      </c>
      <c r="F7457" s="9"/>
    </row>
    <row r="7458" s="2" customFormat="1" ht="30" customHeight="1" spans="1:6">
      <c r="A7458" s="9">
        <v>7455</v>
      </c>
      <c r="B7458" s="10" t="s">
        <v>7043</v>
      </c>
      <c r="C7458" s="10" t="s">
        <v>7044</v>
      </c>
      <c r="D7458" s="10" t="s">
        <v>7150</v>
      </c>
      <c r="E7458" s="10" t="str">
        <f>"644020240515103737181075"</f>
        <v>644020240515103737181075</v>
      </c>
      <c r="F7458" s="9"/>
    </row>
    <row r="7459" s="2" customFormat="1" ht="30" customHeight="1" spans="1:6">
      <c r="A7459" s="9">
        <v>7456</v>
      </c>
      <c r="B7459" s="10" t="s">
        <v>7043</v>
      </c>
      <c r="C7459" s="10" t="s">
        <v>7044</v>
      </c>
      <c r="D7459" s="10" t="s">
        <v>7151</v>
      </c>
      <c r="E7459" s="10" t="str">
        <f>"644020240515101632180995"</f>
        <v>644020240515101632180995</v>
      </c>
      <c r="F7459" s="9"/>
    </row>
    <row r="7460" s="2" customFormat="1" ht="30" customHeight="1" spans="1:6">
      <c r="A7460" s="9">
        <v>7457</v>
      </c>
      <c r="B7460" s="10" t="s">
        <v>7043</v>
      </c>
      <c r="C7460" s="10" t="s">
        <v>7044</v>
      </c>
      <c r="D7460" s="10" t="s">
        <v>7152</v>
      </c>
      <c r="E7460" s="10" t="str">
        <f>"644020240515082016180684"</f>
        <v>644020240515082016180684</v>
      </c>
      <c r="F7460" s="9"/>
    </row>
    <row r="7461" s="2" customFormat="1" ht="30" customHeight="1" spans="1:6">
      <c r="A7461" s="9">
        <v>7458</v>
      </c>
      <c r="B7461" s="10" t="s">
        <v>7043</v>
      </c>
      <c r="C7461" s="10" t="s">
        <v>7044</v>
      </c>
      <c r="D7461" s="10" t="s">
        <v>7153</v>
      </c>
      <c r="E7461" s="10" t="str">
        <f>"644020240514152212179269"</f>
        <v>644020240514152212179269</v>
      </c>
      <c r="F7461" s="9"/>
    </row>
    <row r="7462" s="2" customFormat="1" ht="30" customHeight="1" spans="1:6">
      <c r="A7462" s="9">
        <v>7459</v>
      </c>
      <c r="B7462" s="10" t="s">
        <v>7043</v>
      </c>
      <c r="C7462" s="10" t="s">
        <v>7044</v>
      </c>
      <c r="D7462" s="10" t="s">
        <v>7154</v>
      </c>
      <c r="E7462" s="10" t="str">
        <f>"644020240515110802181176"</f>
        <v>644020240515110802181176</v>
      </c>
      <c r="F7462" s="9"/>
    </row>
    <row r="7463" s="2" customFormat="1" ht="30" customHeight="1" spans="1:6">
      <c r="A7463" s="9">
        <v>7460</v>
      </c>
      <c r="B7463" s="10" t="s">
        <v>7043</v>
      </c>
      <c r="C7463" s="10" t="s">
        <v>7044</v>
      </c>
      <c r="D7463" s="10" t="s">
        <v>7155</v>
      </c>
      <c r="E7463" s="10" t="str">
        <f>"644020240515115131181299"</f>
        <v>644020240515115131181299</v>
      </c>
      <c r="F7463" s="9"/>
    </row>
    <row r="7464" s="2" customFormat="1" ht="30" customHeight="1" spans="1:6">
      <c r="A7464" s="9">
        <v>7461</v>
      </c>
      <c r="B7464" s="10" t="s">
        <v>7043</v>
      </c>
      <c r="C7464" s="10" t="s">
        <v>7044</v>
      </c>
      <c r="D7464" s="10" t="s">
        <v>7156</v>
      </c>
      <c r="E7464" s="10" t="str">
        <f>"644020240515120242181326"</f>
        <v>644020240515120242181326</v>
      </c>
      <c r="F7464" s="9"/>
    </row>
    <row r="7465" s="2" customFormat="1" ht="30" customHeight="1" spans="1:6">
      <c r="A7465" s="9">
        <v>7462</v>
      </c>
      <c r="B7465" s="10" t="s">
        <v>7043</v>
      </c>
      <c r="C7465" s="10" t="s">
        <v>7044</v>
      </c>
      <c r="D7465" s="10" t="s">
        <v>7157</v>
      </c>
      <c r="E7465" s="10" t="str">
        <f>"644020240513103118173434"</f>
        <v>644020240513103118173434</v>
      </c>
      <c r="F7465" s="9"/>
    </row>
    <row r="7466" s="2" customFormat="1" ht="30" customHeight="1" spans="1:6">
      <c r="A7466" s="9">
        <v>7463</v>
      </c>
      <c r="B7466" s="10" t="s">
        <v>7043</v>
      </c>
      <c r="C7466" s="10" t="s">
        <v>7044</v>
      </c>
      <c r="D7466" s="10" t="s">
        <v>7158</v>
      </c>
      <c r="E7466" s="10" t="str">
        <f>"644020240515114701181289"</f>
        <v>644020240515114701181289</v>
      </c>
      <c r="F7466" s="9"/>
    </row>
    <row r="7467" s="2" customFormat="1" ht="30" customHeight="1" spans="1:6">
      <c r="A7467" s="9">
        <v>7464</v>
      </c>
      <c r="B7467" s="10" t="s">
        <v>7043</v>
      </c>
      <c r="C7467" s="10" t="s">
        <v>7044</v>
      </c>
      <c r="D7467" s="10" t="s">
        <v>4543</v>
      </c>
      <c r="E7467" s="10" t="str">
        <f>"644020240512112609168864"</f>
        <v>644020240512112609168864</v>
      </c>
      <c r="F7467" s="9"/>
    </row>
    <row r="7468" s="2" customFormat="1" ht="30" customHeight="1" spans="1:6">
      <c r="A7468" s="9">
        <v>7465</v>
      </c>
      <c r="B7468" s="10" t="s">
        <v>7043</v>
      </c>
      <c r="C7468" s="10" t="s">
        <v>7044</v>
      </c>
      <c r="D7468" s="10" t="s">
        <v>7159</v>
      </c>
      <c r="E7468" s="10" t="str">
        <f>"644020240514223316180387"</f>
        <v>644020240514223316180387</v>
      </c>
      <c r="F7468" s="9"/>
    </row>
    <row r="7469" s="2" customFormat="1" ht="30" customHeight="1" spans="1:6">
      <c r="A7469" s="9">
        <v>7466</v>
      </c>
      <c r="B7469" s="10" t="s">
        <v>7043</v>
      </c>
      <c r="C7469" s="10" t="s">
        <v>7044</v>
      </c>
      <c r="D7469" s="10" t="s">
        <v>7160</v>
      </c>
      <c r="E7469" s="10" t="str">
        <f>"644020240515102250181017"</f>
        <v>644020240515102250181017</v>
      </c>
      <c r="F7469" s="9"/>
    </row>
    <row r="7470" s="2" customFormat="1" ht="30" customHeight="1" spans="1:6">
      <c r="A7470" s="9">
        <v>7467</v>
      </c>
      <c r="B7470" s="10" t="s">
        <v>7043</v>
      </c>
      <c r="C7470" s="10" t="s">
        <v>7044</v>
      </c>
      <c r="D7470" s="10" t="s">
        <v>7161</v>
      </c>
      <c r="E7470" s="10" t="str">
        <f>"644020240515150233181620"</f>
        <v>644020240515150233181620</v>
      </c>
      <c r="F7470" s="9"/>
    </row>
    <row r="7471" s="2" customFormat="1" ht="30" customHeight="1" spans="1:6">
      <c r="A7471" s="9">
        <v>7468</v>
      </c>
      <c r="B7471" s="10" t="s">
        <v>7043</v>
      </c>
      <c r="C7471" s="10" t="s">
        <v>7044</v>
      </c>
      <c r="D7471" s="10" t="s">
        <v>7162</v>
      </c>
      <c r="E7471" s="10" t="str">
        <f>"644020240515151427181648"</f>
        <v>644020240515151427181648</v>
      </c>
      <c r="F7471" s="9"/>
    </row>
    <row r="7472" s="2" customFormat="1" ht="30" customHeight="1" spans="1:6">
      <c r="A7472" s="9">
        <v>7469</v>
      </c>
      <c r="B7472" s="10" t="s">
        <v>7043</v>
      </c>
      <c r="C7472" s="10" t="s">
        <v>7044</v>
      </c>
      <c r="D7472" s="10" t="s">
        <v>7163</v>
      </c>
      <c r="E7472" s="10" t="str">
        <f>"644020240515150309181623"</f>
        <v>644020240515150309181623</v>
      </c>
      <c r="F7472" s="9"/>
    </row>
    <row r="7473" s="2" customFormat="1" ht="30" customHeight="1" spans="1:6">
      <c r="A7473" s="9">
        <v>7470</v>
      </c>
      <c r="B7473" s="10" t="s">
        <v>7043</v>
      </c>
      <c r="C7473" s="10" t="s">
        <v>7044</v>
      </c>
      <c r="D7473" s="10" t="s">
        <v>7164</v>
      </c>
      <c r="E7473" s="10" t="str">
        <f>"644020240515151634181656"</f>
        <v>644020240515151634181656</v>
      </c>
      <c r="F7473" s="9"/>
    </row>
    <row r="7474" s="2" customFormat="1" ht="30" customHeight="1" spans="1:6">
      <c r="A7474" s="9">
        <v>7471</v>
      </c>
      <c r="B7474" s="10" t="s">
        <v>7043</v>
      </c>
      <c r="C7474" s="10" t="s">
        <v>7044</v>
      </c>
      <c r="D7474" s="10" t="s">
        <v>7165</v>
      </c>
      <c r="E7474" s="10" t="str">
        <f>"644020240514170537179627"</f>
        <v>644020240514170537179627</v>
      </c>
      <c r="F7474" s="9"/>
    </row>
    <row r="7475" s="2" customFormat="1" ht="30" customHeight="1" spans="1:6">
      <c r="A7475" s="9">
        <v>7472</v>
      </c>
      <c r="B7475" s="10" t="s">
        <v>7043</v>
      </c>
      <c r="C7475" s="10" t="s">
        <v>7044</v>
      </c>
      <c r="D7475" s="10" t="s">
        <v>7166</v>
      </c>
      <c r="E7475" s="10" t="str">
        <f>"644020240514211046180139"</f>
        <v>644020240514211046180139</v>
      </c>
      <c r="F7475" s="9"/>
    </row>
    <row r="7476" s="2" customFormat="1" ht="30" customHeight="1" spans="1:6">
      <c r="A7476" s="9">
        <v>7473</v>
      </c>
      <c r="B7476" s="10" t="s">
        <v>7043</v>
      </c>
      <c r="C7476" s="10" t="s">
        <v>7044</v>
      </c>
      <c r="D7476" s="10" t="s">
        <v>7167</v>
      </c>
      <c r="E7476" s="10" t="str">
        <f>"644020240514103343178454"</f>
        <v>644020240514103343178454</v>
      </c>
      <c r="F7476" s="9"/>
    </row>
    <row r="7477" s="2" customFormat="1" ht="30" customHeight="1" spans="1:6">
      <c r="A7477" s="9">
        <v>7474</v>
      </c>
      <c r="B7477" s="10" t="s">
        <v>7043</v>
      </c>
      <c r="C7477" s="10" t="s">
        <v>7044</v>
      </c>
      <c r="D7477" s="10" t="s">
        <v>7168</v>
      </c>
      <c r="E7477" s="10" t="str">
        <f>"644020240515084336180726"</f>
        <v>644020240515084336180726</v>
      </c>
      <c r="F7477" s="9"/>
    </row>
    <row r="7478" s="2" customFormat="1" ht="30" customHeight="1" spans="1:6">
      <c r="A7478" s="9">
        <v>7475</v>
      </c>
      <c r="B7478" s="10" t="s">
        <v>7043</v>
      </c>
      <c r="C7478" s="10" t="s">
        <v>7044</v>
      </c>
      <c r="D7478" s="10" t="s">
        <v>7169</v>
      </c>
      <c r="E7478" s="10" t="str">
        <f>"644020240514104311178515"</f>
        <v>644020240514104311178515</v>
      </c>
      <c r="F7478" s="9"/>
    </row>
    <row r="7479" s="2" customFormat="1" ht="30" customHeight="1" spans="1:6">
      <c r="A7479" s="9">
        <v>7476</v>
      </c>
      <c r="B7479" s="10" t="s">
        <v>7043</v>
      </c>
      <c r="C7479" s="10" t="s">
        <v>7044</v>
      </c>
      <c r="D7479" s="10" t="s">
        <v>7170</v>
      </c>
      <c r="E7479" s="10" t="str">
        <f>"644020240514063938177769"</f>
        <v>644020240514063938177769</v>
      </c>
      <c r="F7479" s="9"/>
    </row>
    <row r="7480" s="2" customFormat="1" ht="30" customHeight="1" spans="1:6">
      <c r="A7480" s="9">
        <v>7477</v>
      </c>
      <c r="B7480" s="10" t="s">
        <v>7043</v>
      </c>
      <c r="C7480" s="10" t="s">
        <v>7044</v>
      </c>
      <c r="D7480" s="10" t="s">
        <v>7171</v>
      </c>
      <c r="E7480" s="10" t="str">
        <f>"644020240515163634181875"</f>
        <v>644020240515163634181875</v>
      </c>
      <c r="F7480" s="9"/>
    </row>
    <row r="7481" s="2" customFormat="1" ht="30" customHeight="1" spans="1:6">
      <c r="A7481" s="9">
        <v>7478</v>
      </c>
      <c r="B7481" s="10" t="s">
        <v>7043</v>
      </c>
      <c r="C7481" s="10" t="s">
        <v>7044</v>
      </c>
      <c r="D7481" s="10" t="s">
        <v>7172</v>
      </c>
      <c r="E7481" s="10" t="str">
        <f>"644020240515153152181703"</f>
        <v>644020240515153152181703</v>
      </c>
      <c r="F7481" s="9"/>
    </row>
    <row r="7482" s="2" customFormat="1" ht="30" customHeight="1" spans="1:6">
      <c r="A7482" s="9">
        <v>7479</v>
      </c>
      <c r="B7482" s="10" t="s">
        <v>7043</v>
      </c>
      <c r="C7482" s="10" t="s">
        <v>7044</v>
      </c>
      <c r="D7482" s="10" t="s">
        <v>7173</v>
      </c>
      <c r="E7482" s="10" t="str">
        <f>"644020240515171619181985"</f>
        <v>644020240515171619181985</v>
      </c>
      <c r="F7482" s="9"/>
    </row>
    <row r="7483" s="2" customFormat="1" ht="30" customHeight="1" spans="1:6">
      <c r="A7483" s="9">
        <v>7480</v>
      </c>
      <c r="B7483" s="10" t="s">
        <v>7043</v>
      </c>
      <c r="C7483" s="10" t="s">
        <v>7044</v>
      </c>
      <c r="D7483" s="10" t="s">
        <v>7174</v>
      </c>
      <c r="E7483" s="10" t="str">
        <f>"644020240515171313181981"</f>
        <v>644020240515171313181981</v>
      </c>
      <c r="F7483" s="9"/>
    </row>
    <row r="7484" s="2" customFormat="1" ht="30" customHeight="1" spans="1:6">
      <c r="A7484" s="9">
        <v>7481</v>
      </c>
      <c r="B7484" s="10" t="s">
        <v>7043</v>
      </c>
      <c r="C7484" s="10" t="s">
        <v>7044</v>
      </c>
      <c r="D7484" s="10" t="s">
        <v>7175</v>
      </c>
      <c r="E7484" s="10" t="str">
        <f>"644020240515175118182040"</f>
        <v>644020240515175118182040</v>
      </c>
      <c r="F7484" s="9"/>
    </row>
    <row r="7485" s="2" customFormat="1" ht="30" customHeight="1" spans="1:6">
      <c r="A7485" s="9">
        <v>7482</v>
      </c>
      <c r="B7485" s="10" t="s">
        <v>7043</v>
      </c>
      <c r="C7485" s="10" t="s">
        <v>7044</v>
      </c>
      <c r="D7485" s="10" t="s">
        <v>7176</v>
      </c>
      <c r="E7485" s="10" t="str">
        <f>"644020240515003643180604"</f>
        <v>644020240515003643180604</v>
      </c>
      <c r="F7485" s="9"/>
    </row>
    <row r="7486" s="2" customFormat="1" ht="30" customHeight="1" spans="1:6">
      <c r="A7486" s="9">
        <v>7483</v>
      </c>
      <c r="B7486" s="10" t="s">
        <v>7043</v>
      </c>
      <c r="C7486" s="10" t="s">
        <v>7044</v>
      </c>
      <c r="D7486" s="10" t="s">
        <v>7177</v>
      </c>
      <c r="E7486" s="10" t="str">
        <f>"644020240515182349182086"</f>
        <v>644020240515182349182086</v>
      </c>
      <c r="F7486" s="9"/>
    </row>
    <row r="7487" s="2" customFormat="1" ht="30" customHeight="1" spans="1:6">
      <c r="A7487" s="9">
        <v>7484</v>
      </c>
      <c r="B7487" s="10" t="s">
        <v>7043</v>
      </c>
      <c r="C7487" s="10" t="s">
        <v>7044</v>
      </c>
      <c r="D7487" s="10" t="s">
        <v>7178</v>
      </c>
      <c r="E7487" s="10" t="str">
        <f>"644020240512231308171742"</f>
        <v>644020240512231308171742</v>
      </c>
      <c r="F7487" s="9"/>
    </row>
    <row r="7488" s="2" customFormat="1" ht="30" customHeight="1" spans="1:6">
      <c r="A7488" s="9">
        <v>7485</v>
      </c>
      <c r="B7488" s="10" t="s">
        <v>7043</v>
      </c>
      <c r="C7488" s="10" t="s">
        <v>7044</v>
      </c>
      <c r="D7488" s="10" t="s">
        <v>7179</v>
      </c>
      <c r="E7488" s="10" t="str">
        <f>"644020240514215533180278"</f>
        <v>644020240514215533180278</v>
      </c>
      <c r="F7488" s="9"/>
    </row>
    <row r="7489" s="2" customFormat="1" ht="30" customHeight="1" spans="1:6">
      <c r="A7489" s="9">
        <v>7486</v>
      </c>
      <c r="B7489" s="10" t="s">
        <v>7043</v>
      </c>
      <c r="C7489" s="10" t="s">
        <v>7044</v>
      </c>
      <c r="D7489" s="10" t="s">
        <v>7180</v>
      </c>
      <c r="E7489" s="10" t="str">
        <f>"644020240514101739178359"</f>
        <v>644020240514101739178359</v>
      </c>
      <c r="F7489" s="9"/>
    </row>
    <row r="7490" s="2" customFormat="1" ht="30" customHeight="1" spans="1:6">
      <c r="A7490" s="9">
        <v>7487</v>
      </c>
      <c r="B7490" s="10" t="s">
        <v>7043</v>
      </c>
      <c r="C7490" s="10" t="s">
        <v>7044</v>
      </c>
      <c r="D7490" s="10" t="s">
        <v>7181</v>
      </c>
      <c r="E7490" s="10" t="str">
        <f>"644020240515203129182264"</f>
        <v>644020240515203129182264</v>
      </c>
      <c r="F7490" s="9"/>
    </row>
    <row r="7491" s="2" customFormat="1" ht="30" customHeight="1" spans="1:6">
      <c r="A7491" s="9">
        <v>7488</v>
      </c>
      <c r="B7491" s="10" t="s">
        <v>7043</v>
      </c>
      <c r="C7491" s="10" t="s">
        <v>7044</v>
      </c>
      <c r="D7491" s="10" t="s">
        <v>7182</v>
      </c>
      <c r="E7491" s="10" t="str">
        <f>"644020240515134248181488"</f>
        <v>644020240515134248181488</v>
      </c>
      <c r="F7491" s="9"/>
    </row>
    <row r="7492" s="2" customFormat="1" ht="30" customHeight="1" spans="1:6">
      <c r="A7492" s="9">
        <v>7489</v>
      </c>
      <c r="B7492" s="10" t="s">
        <v>7043</v>
      </c>
      <c r="C7492" s="10" t="s">
        <v>7044</v>
      </c>
      <c r="D7492" s="10" t="s">
        <v>7183</v>
      </c>
      <c r="E7492" s="10" t="str">
        <f>"644020240515180211182061"</f>
        <v>644020240515180211182061</v>
      </c>
      <c r="F7492" s="9"/>
    </row>
    <row r="7493" s="2" customFormat="1" ht="30" customHeight="1" spans="1:6">
      <c r="A7493" s="9">
        <v>7490</v>
      </c>
      <c r="B7493" s="10" t="s">
        <v>7043</v>
      </c>
      <c r="C7493" s="10" t="s">
        <v>7044</v>
      </c>
      <c r="D7493" s="10" t="s">
        <v>7184</v>
      </c>
      <c r="E7493" s="10" t="str">
        <f>"644020240514222438180363"</f>
        <v>644020240514222438180363</v>
      </c>
      <c r="F7493" s="9"/>
    </row>
    <row r="7494" s="2" customFormat="1" ht="30" customHeight="1" spans="1:6">
      <c r="A7494" s="9">
        <v>7491</v>
      </c>
      <c r="B7494" s="10" t="s">
        <v>7043</v>
      </c>
      <c r="C7494" s="10" t="s">
        <v>7044</v>
      </c>
      <c r="D7494" s="10" t="s">
        <v>7185</v>
      </c>
      <c r="E7494" s="10" t="str">
        <f>"644020240515102156181014"</f>
        <v>644020240515102156181014</v>
      </c>
      <c r="F7494" s="9"/>
    </row>
    <row r="7495" s="2" customFormat="1" ht="30" customHeight="1" spans="1:6">
      <c r="A7495" s="9">
        <v>7492</v>
      </c>
      <c r="B7495" s="10" t="s">
        <v>7043</v>
      </c>
      <c r="C7495" s="10" t="s">
        <v>7044</v>
      </c>
      <c r="D7495" s="10" t="s">
        <v>769</v>
      </c>
      <c r="E7495" s="10" t="str">
        <f>"644020240515223833182448"</f>
        <v>644020240515223833182448</v>
      </c>
      <c r="F7495" s="9"/>
    </row>
    <row r="7496" s="2" customFormat="1" ht="30" customHeight="1" spans="1:6">
      <c r="A7496" s="9">
        <v>7493</v>
      </c>
      <c r="B7496" s="10" t="s">
        <v>7043</v>
      </c>
      <c r="C7496" s="10" t="s">
        <v>7044</v>
      </c>
      <c r="D7496" s="10" t="s">
        <v>7186</v>
      </c>
      <c r="E7496" s="10" t="str">
        <f>"644020240515151511181650"</f>
        <v>644020240515151511181650</v>
      </c>
      <c r="F7496" s="9"/>
    </row>
    <row r="7497" s="2" customFormat="1" ht="30" customHeight="1" spans="1:6">
      <c r="A7497" s="9">
        <v>7494</v>
      </c>
      <c r="B7497" s="10" t="s">
        <v>7043</v>
      </c>
      <c r="C7497" s="10" t="s">
        <v>7044</v>
      </c>
      <c r="D7497" s="10" t="s">
        <v>7187</v>
      </c>
      <c r="E7497" s="10" t="str">
        <f>"644020240515230348182514"</f>
        <v>644020240515230348182514</v>
      </c>
      <c r="F7497" s="9"/>
    </row>
    <row r="7498" s="2" customFormat="1" ht="30" customHeight="1" spans="1:6">
      <c r="A7498" s="9">
        <v>7495</v>
      </c>
      <c r="B7498" s="10" t="s">
        <v>7043</v>
      </c>
      <c r="C7498" s="10" t="s">
        <v>7044</v>
      </c>
      <c r="D7498" s="10" t="s">
        <v>7188</v>
      </c>
      <c r="E7498" s="10" t="str">
        <f>"644020240515234312182599"</f>
        <v>644020240515234312182599</v>
      </c>
      <c r="F7498" s="9"/>
    </row>
    <row r="7499" s="2" customFormat="1" ht="30" customHeight="1" spans="1:6">
      <c r="A7499" s="9">
        <v>7496</v>
      </c>
      <c r="B7499" s="10" t="s">
        <v>7043</v>
      </c>
      <c r="C7499" s="10" t="s">
        <v>7044</v>
      </c>
      <c r="D7499" s="10" t="s">
        <v>7189</v>
      </c>
      <c r="E7499" s="10" t="str">
        <f>"644020240516001630182652"</f>
        <v>644020240516001630182652</v>
      </c>
      <c r="F7499" s="9"/>
    </row>
    <row r="7500" s="2" customFormat="1" ht="30" customHeight="1" spans="1:6">
      <c r="A7500" s="9">
        <v>7497</v>
      </c>
      <c r="B7500" s="10" t="s">
        <v>7043</v>
      </c>
      <c r="C7500" s="10" t="s">
        <v>7044</v>
      </c>
      <c r="D7500" s="10" t="s">
        <v>7190</v>
      </c>
      <c r="E7500" s="10" t="str">
        <f>"644020240516081926182755"</f>
        <v>644020240516081926182755</v>
      </c>
      <c r="F7500" s="9"/>
    </row>
    <row r="7501" s="2" customFormat="1" ht="30" customHeight="1" spans="1:6">
      <c r="A7501" s="9">
        <v>7498</v>
      </c>
      <c r="B7501" s="10" t="s">
        <v>7043</v>
      </c>
      <c r="C7501" s="10" t="s">
        <v>7044</v>
      </c>
      <c r="D7501" s="10" t="s">
        <v>7191</v>
      </c>
      <c r="E7501" s="10" t="str">
        <f>"644020240516003013182663"</f>
        <v>644020240516003013182663</v>
      </c>
      <c r="F7501" s="9"/>
    </row>
    <row r="7502" s="2" customFormat="1" ht="30" customHeight="1" spans="1:6">
      <c r="A7502" s="9">
        <v>7499</v>
      </c>
      <c r="B7502" s="10" t="s">
        <v>7043</v>
      </c>
      <c r="C7502" s="10" t="s">
        <v>7044</v>
      </c>
      <c r="D7502" s="10" t="s">
        <v>7192</v>
      </c>
      <c r="E7502" s="10" t="str">
        <f>"644020240516091508182839"</f>
        <v>644020240516091508182839</v>
      </c>
      <c r="F7502" s="9"/>
    </row>
    <row r="7503" s="2" customFormat="1" ht="30" customHeight="1" spans="1:6">
      <c r="A7503" s="9">
        <v>7500</v>
      </c>
      <c r="B7503" s="10" t="s">
        <v>7043</v>
      </c>
      <c r="C7503" s="10" t="s">
        <v>7044</v>
      </c>
      <c r="D7503" s="10" t="s">
        <v>7193</v>
      </c>
      <c r="E7503" s="10" t="str">
        <f>"644020240516094631182912"</f>
        <v>644020240516094631182912</v>
      </c>
      <c r="F7503" s="9"/>
    </row>
    <row r="7504" s="2" customFormat="1" ht="30" customHeight="1" spans="1:6">
      <c r="A7504" s="9">
        <v>7501</v>
      </c>
      <c r="B7504" s="10" t="s">
        <v>7043</v>
      </c>
      <c r="C7504" s="10" t="s">
        <v>7044</v>
      </c>
      <c r="D7504" s="10" t="s">
        <v>7194</v>
      </c>
      <c r="E7504" s="10" t="str">
        <f>"644020240516092100182855"</f>
        <v>644020240516092100182855</v>
      </c>
      <c r="F7504" s="9"/>
    </row>
    <row r="7505" s="2" customFormat="1" ht="30" customHeight="1" spans="1:6">
      <c r="A7505" s="9">
        <v>7502</v>
      </c>
      <c r="B7505" s="10" t="s">
        <v>7043</v>
      </c>
      <c r="C7505" s="10" t="s">
        <v>7044</v>
      </c>
      <c r="D7505" s="10" t="s">
        <v>7195</v>
      </c>
      <c r="E7505" s="10" t="str">
        <f>"644020240514105039178563"</f>
        <v>644020240514105039178563</v>
      </c>
      <c r="F7505" s="9"/>
    </row>
    <row r="7506" s="2" customFormat="1" ht="30" customHeight="1" spans="1:6">
      <c r="A7506" s="9">
        <v>7503</v>
      </c>
      <c r="B7506" s="10" t="s">
        <v>7043</v>
      </c>
      <c r="C7506" s="10" t="s">
        <v>7044</v>
      </c>
      <c r="D7506" s="10" t="s">
        <v>7196</v>
      </c>
      <c r="E7506" s="10" t="str">
        <f>"644020240513143350174994"</f>
        <v>644020240513143350174994</v>
      </c>
      <c r="F7506" s="9"/>
    </row>
    <row r="7507" s="2" customFormat="1" ht="30" customHeight="1" spans="1:6">
      <c r="A7507" s="9">
        <v>7504</v>
      </c>
      <c r="B7507" s="10" t="s">
        <v>7043</v>
      </c>
      <c r="C7507" s="10" t="s">
        <v>7044</v>
      </c>
      <c r="D7507" s="10" t="s">
        <v>7197</v>
      </c>
      <c r="E7507" s="10" t="str">
        <f>"644020240516111219183139"</f>
        <v>644020240516111219183139</v>
      </c>
      <c r="F7507" s="9"/>
    </row>
    <row r="7508" s="2" customFormat="1" ht="30" customHeight="1" spans="1:6">
      <c r="A7508" s="9">
        <v>7505</v>
      </c>
      <c r="B7508" s="10" t="s">
        <v>7043</v>
      </c>
      <c r="C7508" s="10" t="s">
        <v>7044</v>
      </c>
      <c r="D7508" s="10" t="s">
        <v>7198</v>
      </c>
      <c r="E7508" s="10" t="str">
        <f>"644020240516111141183135"</f>
        <v>644020240516111141183135</v>
      </c>
      <c r="F7508" s="9"/>
    </row>
    <row r="7509" s="2" customFormat="1" ht="30" customHeight="1" spans="1:6">
      <c r="A7509" s="9">
        <v>7506</v>
      </c>
      <c r="B7509" s="10" t="s">
        <v>7043</v>
      </c>
      <c r="C7509" s="10" t="s">
        <v>7044</v>
      </c>
      <c r="D7509" s="10" t="s">
        <v>7199</v>
      </c>
      <c r="E7509" s="10" t="str">
        <f>"644020240515172217181995"</f>
        <v>644020240515172217181995</v>
      </c>
      <c r="F7509" s="9"/>
    </row>
    <row r="7510" s="2" customFormat="1" ht="30" customHeight="1" spans="1:6">
      <c r="A7510" s="9">
        <v>7507</v>
      </c>
      <c r="B7510" s="10" t="s">
        <v>7043</v>
      </c>
      <c r="C7510" s="10" t="s">
        <v>7044</v>
      </c>
      <c r="D7510" s="10" t="s">
        <v>7200</v>
      </c>
      <c r="E7510" s="10" t="str">
        <f>"644020240516123109183284"</f>
        <v>644020240516123109183284</v>
      </c>
      <c r="F7510" s="9"/>
    </row>
    <row r="7511" s="2" customFormat="1" ht="30" customHeight="1" spans="1:6">
      <c r="A7511" s="9">
        <v>7508</v>
      </c>
      <c r="B7511" s="10" t="s">
        <v>7043</v>
      </c>
      <c r="C7511" s="10" t="s">
        <v>7044</v>
      </c>
      <c r="D7511" s="10" t="s">
        <v>7201</v>
      </c>
      <c r="E7511" s="10" t="str">
        <f>"644020240516122900183282"</f>
        <v>644020240516122900183282</v>
      </c>
      <c r="F7511" s="9"/>
    </row>
    <row r="7512" s="2" customFormat="1" ht="30" customHeight="1" spans="1:6">
      <c r="A7512" s="9">
        <v>7509</v>
      </c>
      <c r="B7512" s="10" t="s">
        <v>7043</v>
      </c>
      <c r="C7512" s="10" t="s">
        <v>7044</v>
      </c>
      <c r="D7512" s="10" t="s">
        <v>7202</v>
      </c>
      <c r="E7512" s="10" t="str">
        <f>"644020240516122219183265"</f>
        <v>644020240516122219183265</v>
      </c>
      <c r="F7512" s="9"/>
    </row>
    <row r="7513" s="2" customFormat="1" ht="30" customHeight="1" spans="1:6">
      <c r="A7513" s="9">
        <v>7510</v>
      </c>
      <c r="B7513" s="10" t="s">
        <v>7043</v>
      </c>
      <c r="C7513" s="10" t="s">
        <v>7044</v>
      </c>
      <c r="D7513" s="10" t="s">
        <v>7203</v>
      </c>
      <c r="E7513" s="10" t="str">
        <f>"644020240515175949182056"</f>
        <v>644020240515175949182056</v>
      </c>
      <c r="F7513" s="9"/>
    </row>
    <row r="7514" s="2" customFormat="1" ht="30" customHeight="1" spans="1:6">
      <c r="A7514" s="9">
        <v>7511</v>
      </c>
      <c r="B7514" s="10" t="s">
        <v>7043</v>
      </c>
      <c r="C7514" s="10" t="s">
        <v>7044</v>
      </c>
      <c r="D7514" s="10" t="s">
        <v>7204</v>
      </c>
      <c r="E7514" s="10" t="str">
        <f>"644020240516140523183406"</f>
        <v>644020240516140523183406</v>
      </c>
      <c r="F7514" s="9"/>
    </row>
    <row r="7515" s="2" customFormat="1" ht="30" customHeight="1" spans="1:6">
      <c r="A7515" s="9">
        <v>7512</v>
      </c>
      <c r="B7515" s="10" t="s">
        <v>7043</v>
      </c>
      <c r="C7515" s="10" t="s">
        <v>7044</v>
      </c>
      <c r="D7515" s="10" t="s">
        <v>7205</v>
      </c>
      <c r="E7515" s="10" t="str">
        <f>"644020240514165553179592"</f>
        <v>644020240514165553179592</v>
      </c>
      <c r="F7515" s="9"/>
    </row>
    <row r="7516" s="2" customFormat="1" ht="30" customHeight="1" spans="1:6">
      <c r="A7516" s="9">
        <v>7513</v>
      </c>
      <c r="B7516" s="10" t="s">
        <v>7043</v>
      </c>
      <c r="C7516" s="10" t="s">
        <v>7044</v>
      </c>
      <c r="D7516" s="10" t="s">
        <v>7206</v>
      </c>
      <c r="E7516" s="10" t="str">
        <f>"644020240516145414183469"</f>
        <v>644020240516145414183469</v>
      </c>
      <c r="F7516" s="9"/>
    </row>
    <row r="7517" s="2" customFormat="1" ht="30" customHeight="1" spans="1:6">
      <c r="A7517" s="9">
        <v>7514</v>
      </c>
      <c r="B7517" s="10" t="s">
        <v>7043</v>
      </c>
      <c r="C7517" s="10" t="s">
        <v>7044</v>
      </c>
      <c r="D7517" s="10" t="s">
        <v>7207</v>
      </c>
      <c r="E7517" s="10" t="str">
        <f>"644020240516125513183322"</f>
        <v>644020240516125513183322</v>
      </c>
      <c r="F7517" s="9"/>
    </row>
    <row r="7518" s="2" customFormat="1" ht="30" customHeight="1" spans="1:6">
      <c r="A7518" s="9">
        <v>7515</v>
      </c>
      <c r="B7518" s="10" t="s">
        <v>7043</v>
      </c>
      <c r="C7518" s="10" t="s">
        <v>7044</v>
      </c>
      <c r="D7518" s="10" t="s">
        <v>7208</v>
      </c>
      <c r="E7518" s="10" t="str">
        <f>"644020240516150113183484"</f>
        <v>644020240516150113183484</v>
      </c>
      <c r="F7518" s="9"/>
    </row>
    <row r="7519" s="2" customFormat="1" ht="30" customHeight="1" spans="1:6">
      <c r="A7519" s="9">
        <v>7516</v>
      </c>
      <c r="B7519" s="10" t="s">
        <v>7043</v>
      </c>
      <c r="C7519" s="10" t="s">
        <v>7044</v>
      </c>
      <c r="D7519" s="10" t="s">
        <v>7209</v>
      </c>
      <c r="E7519" s="10" t="str">
        <f>"644020240516160231183623"</f>
        <v>644020240516160231183623</v>
      </c>
      <c r="F7519" s="9"/>
    </row>
    <row r="7520" s="2" customFormat="1" ht="30" customHeight="1" spans="1:6">
      <c r="A7520" s="9">
        <v>7517</v>
      </c>
      <c r="B7520" s="10" t="s">
        <v>7043</v>
      </c>
      <c r="C7520" s="10" t="s">
        <v>7044</v>
      </c>
      <c r="D7520" s="10" t="s">
        <v>7210</v>
      </c>
      <c r="E7520" s="10" t="str">
        <f>"644020240514093612178136"</f>
        <v>644020240514093612178136</v>
      </c>
      <c r="F7520" s="9"/>
    </row>
    <row r="7521" s="2" customFormat="1" ht="30" customHeight="1" spans="1:6">
      <c r="A7521" s="9">
        <v>7518</v>
      </c>
      <c r="B7521" s="10" t="s">
        <v>7043</v>
      </c>
      <c r="C7521" s="10" t="s">
        <v>7044</v>
      </c>
      <c r="D7521" s="10" t="s">
        <v>7211</v>
      </c>
      <c r="E7521" s="10" t="str">
        <f>"644020240515092208180826"</f>
        <v>644020240515092208180826</v>
      </c>
      <c r="F7521" s="9"/>
    </row>
    <row r="7522" s="2" customFormat="1" ht="30" customHeight="1" spans="1:6">
      <c r="A7522" s="9">
        <v>7519</v>
      </c>
      <c r="B7522" s="10" t="s">
        <v>7043</v>
      </c>
      <c r="C7522" s="10" t="s">
        <v>7044</v>
      </c>
      <c r="D7522" s="10" t="s">
        <v>7212</v>
      </c>
      <c r="E7522" s="10" t="str">
        <f>"644020240516133901183380"</f>
        <v>644020240516133901183380</v>
      </c>
      <c r="F7522" s="9"/>
    </row>
    <row r="7523" s="2" customFormat="1" ht="30" customHeight="1" spans="1:6">
      <c r="A7523" s="9">
        <v>7520</v>
      </c>
      <c r="B7523" s="10" t="s">
        <v>7043</v>
      </c>
      <c r="C7523" s="10" t="s">
        <v>7044</v>
      </c>
      <c r="D7523" s="10" t="s">
        <v>7213</v>
      </c>
      <c r="E7523" s="10" t="str">
        <f>"644020240516165441183757"</f>
        <v>644020240516165441183757</v>
      </c>
      <c r="F7523" s="9"/>
    </row>
    <row r="7524" s="2" customFormat="1" ht="30" customHeight="1" spans="1:6">
      <c r="A7524" s="9">
        <v>7521</v>
      </c>
      <c r="B7524" s="10" t="s">
        <v>7043</v>
      </c>
      <c r="C7524" s="10" t="s">
        <v>7044</v>
      </c>
      <c r="D7524" s="10" t="s">
        <v>7214</v>
      </c>
      <c r="E7524" s="10" t="str">
        <f>"644020240516112150183158"</f>
        <v>644020240516112150183158</v>
      </c>
      <c r="F7524" s="9"/>
    </row>
    <row r="7525" s="2" customFormat="1" ht="30" customHeight="1" spans="1:6">
      <c r="A7525" s="9">
        <v>7522</v>
      </c>
      <c r="B7525" s="10" t="s">
        <v>7043</v>
      </c>
      <c r="C7525" s="10" t="s">
        <v>7044</v>
      </c>
      <c r="D7525" s="10" t="s">
        <v>7215</v>
      </c>
      <c r="E7525" s="10" t="str">
        <f>"644020240514161131179435"</f>
        <v>644020240514161131179435</v>
      </c>
      <c r="F7525" s="9"/>
    </row>
    <row r="7526" s="2" customFormat="1" ht="30" customHeight="1" spans="1:6">
      <c r="A7526" s="9">
        <v>7523</v>
      </c>
      <c r="B7526" s="10" t="s">
        <v>7043</v>
      </c>
      <c r="C7526" s="10" t="s">
        <v>7044</v>
      </c>
      <c r="D7526" s="10" t="s">
        <v>7216</v>
      </c>
      <c r="E7526" s="10" t="str">
        <f>"644020240514121723178871"</f>
        <v>644020240514121723178871</v>
      </c>
      <c r="F7526" s="9"/>
    </row>
    <row r="7527" s="2" customFormat="1" ht="30" customHeight="1" spans="1:6">
      <c r="A7527" s="9">
        <v>7524</v>
      </c>
      <c r="B7527" s="10" t="s">
        <v>7043</v>
      </c>
      <c r="C7527" s="10" t="s">
        <v>7044</v>
      </c>
      <c r="D7527" s="10" t="s">
        <v>7217</v>
      </c>
      <c r="E7527" s="10" t="str">
        <f>"644020240516121947183257"</f>
        <v>644020240516121947183257</v>
      </c>
      <c r="F7527" s="9"/>
    </row>
    <row r="7528" s="2" customFormat="1" ht="30" customHeight="1" spans="1:6">
      <c r="A7528" s="9">
        <v>7525</v>
      </c>
      <c r="B7528" s="10" t="s">
        <v>7043</v>
      </c>
      <c r="C7528" s="10" t="s">
        <v>7044</v>
      </c>
      <c r="D7528" s="10" t="s">
        <v>7218</v>
      </c>
      <c r="E7528" s="10" t="str">
        <f>"644020240516190203183978"</f>
        <v>644020240516190203183978</v>
      </c>
      <c r="F7528" s="9"/>
    </row>
    <row r="7529" s="2" customFormat="1" ht="30" customHeight="1" spans="1:6">
      <c r="A7529" s="9">
        <v>7526</v>
      </c>
      <c r="B7529" s="10" t="s">
        <v>7043</v>
      </c>
      <c r="C7529" s="10" t="s">
        <v>7044</v>
      </c>
      <c r="D7529" s="10" t="s">
        <v>7219</v>
      </c>
      <c r="E7529" s="10" t="str">
        <f>"644020240513190100176513"</f>
        <v>644020240513190100176513</v>
      </c>
      <c r="F7529" s="9"/>
    </row>
    <row r="7530" s="2" customFormat="1" ht="30" customHeight="1" spans="1:6">
      <c r="A7530" s="9">
        <v>7527</v>
      </c>
      <c r="B7530" s="10" t="s">
        <v>7043</v>
      </c>
      <c r="C7530" s="10" t="s">
        <v>7044</v>
      </c>
      <c r="D7530" s="10" t="s">
        <v>7220</v>
      </c>
      <c r="E7530" s="10" t="str">
        <f>"644020240513150705175250"</f>
        <v>644020240513150705175250</v>
      </c>
      <c r="F7530" s="9"/>
    </row>
    <row r="7531" s="2" customFormat="1" ht="30" customHeight="1" spans="1:6">
      <c r="A7531" s="9">
        <v>7528</v>
      </c>
      <c r="B7531" s="10" t="s">
        <v>7043</v>
      </c>
      <c r="C7531" s="10" t="s">
        <v>7044</v>
      </c>
      <c r="D7531" s="10" t="s">
        <v>7221</v>
      </c>
      <c r="E7531" s="10" t="str">
        <f>"644020240514200109179961"</f>
        <v>644020240514200109179961</v>
      </c>
      <c r="F7531" s="9"/>
    </row>
    <row r="7532" s="2" customFormat="1" ht="30" customHeight="1" spans="1:6">
      <c r="A7532" s="9">
        <v>7529</v>
      </c>
      <c r="B7532" s="10" t="s">
        <v>7043</v>
      </c>
      <c r="C7532" s="10" t="s">
        <v>7044</v>
      </c>
      <c r="D7532" s="10" t="s">
        <v>7222</v>
      </c>
      <c r="E7532" s="10" t="str">
        <f>"644020240516203133184064"</f>
        <v>644020240516203133184064</v>
      </c>
      <c r="F7532" s="9"/>
    </row>
    <row r="7533" s="2" customFormat="1" ht="30" customHeight="1" spans="1:6">
      <c r="A7533" s="9">
        <v>7530</v>
      </c>
      <c r="B7533" s="10" t="s">
        <v>7043</v>
      </c>
      <c r="C7533" s="10" t="s">
        <v>7044</v>
      </c>
      <c r="D7533" s="10" t="s">
        <v>7223</v>
      </c>
      <c r="E7533" s="10" t="str">
        <f>"644020240512222921171493"</f>
        <v>644020240512222921171493</v>
      </c>
      <c r="F7533" s="9"/>
    </row>
    <row r="7534" s="2" customFormat="1" ht="30" customHeight="1" spans="1:6">
      <c r="A7534" s="9">
        <v>7531</v>
      </c>
      <c r="B7534" s="10" t="s">
        <v>7043</v>
      </c>
      <c r="C7534" s="10" t="s">
        <v>7044</v>
      </c>
      <c r="D7534" s="10" t="s">
        <v>7224</v>
      </c>
      <c r="E7534" s="10" t="str">
        <f>"644020240516212739184129"</f>
        <v>644020240516212739184129</v>
      </c>
      <c r="F7534" s="9"/>
    </row>
    <row r="7535" s="2" customFormat="1" ht="30" customHeight="1" spans="1:6">
      <c r="A7535" s="9">
        <v>7532</v>
      </c>
      <c r="B7535" s="10" t="s">
        <v>7043</v>
      </c>
      <c r="C7535" s="10" t="s">
        <v>7044</v>
      </c>
      <c r="D7535" s="10" t="s">
        <v>7225</v>
      </c>
      <c r="E7535" s="10" t="str">
        <f>"644020240516184513183960"</f>
        <v>644020240516184513183960</v>
      </c>
      <c r="F7535" s="9"/>
    </row>
    <row r="7536" s="2" customFormat="1" ht="30" customHeight="1" spans="1:6">
      <c r="A7536" s="9">
        <v>7533</v>
      </c>
      <c r="B7536" s="10" t="s">
        <v>7043</v>
      </c>
      <c r="C7536" s="10" t="s">
        <v>7044</v>
      </c>
      <c r="D7536" s="10" t="s">
        <v>4166</v>
      </c>
      <c r="E7536" s="10" t="str">
        <f>"644020240516151746183523"</f>
        <v>644020240516151746183523</v>
      </c>
      <c r="F7536" s="9"/>
    </row>
    <row r="7537" s="2" customFormat="1" ht="30" customHeight="1" spans="1:6">
      <c r="A7537" s="9">
        <v>7534</v>
      </c>
      <c r="B7537" s="10" t="s">
        <v>7043</v>
      </c>
      <c r="C7537" s="10" t="s">
        <v>7044</v>
      </c>
      <c r="D7537" s="10" t="s">
        <v>7226</v>
      </c>
      <c r="E7537" s="10" t="str">
        <f>"644020240515160920181803"</f>
        <v>644020240515160920181803</v>
      </c>
      <c r="F7537" s="9"/>
    </row>
    <row r="7538" s="2" customFormat="1" ht="30" customHeight="1" spans="1:6">
      <c r="A7538" s="9">
        <v>7535</v>
      </c>
      <c r="B7538" s="10" t="s">
        <v>7043</v>
      </c>
      <c r="C7538" s="10" t="s">
        <v>7044</v>
      </c>
      <c r="D7538" s="10" t="s">
        <v>7227</v>
      </c>
      <c r="E7538" s="10" t="str">
        <f>"644020240516235433184450"</f>
        <v>644020240516235433184450</v>
      </c>
      <c r="F7538" s="9"/>
    </row>
    <row r="7539" s="2" customFormat="1" ht="30" customHeight="1" spans="1:6">
      <c r="A7539" s="9">
        <v>7536</v>
      </c>
      <c r="B7539" s="10" t="s">
        <v>7043</v>
      </c>
      <c r="C7539" s="10" t="s">
        <v>7044</v>
      </c>
      <c r="D7539" s="10" t="s">
        <v>7228</v>
      </c>
      <c r="E7539" s="10" t="str">
        <f>"644020240515233943182595"</f>
        <v>644020240515233943182595</v>
      </c>
      <c r="F7539" s="9"/>
    </row>
    <row r="7540" s="2" customFormat="1" ht="30" customHeight="1" spans="1:6">
      <c r="A7540" s="9">
        <v>7537</v>
      </c>
      <c r="B7540" s="10" t="s">
        <v>7043</v>
      </c>
      <c r="C7540" s="10" t="s">
        <v>7044</v>
      </c>
      <c r="D7540" s="10" t="s">
        <v>7229</v>
      </c>
      <c r="E7540" s="10" t="str">
        <f>"644020240516234937184442"</f>
        <v>644020240516234937184442</v>
      </c>
      <c r="F7540" s="9"/>
    </row>
    <row r="7541" s="2" customFormat="1" ht="30" customHeight="1" spans="1:6">
      <c r="A7541" s="9">
        <v>7538</v>
      </c>
      <c r="B7541" s="10" t="s">
        <v>7043</v>
      </c>
      <c r="C7541" s="10" t="s">
        <v>7044</v>
      </c>
      <c r="D7541" s="10" t="s">
        <v>7230</v>
      </c>
      <c r="E7541" s="10" t="str">
        <f>"644020240515233158182574"</f>
        <v>644020240515233158182574</v>
      </c>
      <c r="F7541" s="9"/>
    </row>
    <row r="7542" s="2" customFormat="1" ht="30" customHeight="1" spans="1:6">
      <c r="A7542" s="9">
        <v>7539</v>
      </c>
      <c r="B7542" s="10" t="s">
        <v>7043</v>
      </c>
      <c r="C7542" s="10" t="s">
        <v>7044</v>
      </c>
      <c r="D7542" s="10" t="s">
        <v>5542</v>
      </c>
      <c r="E7542" s="10" t="str">
        <f>"644020240516131013183348"</f>
        <v>644020240516131013183348</v>
      </c>
      <c r="F7542" s="9"/>
    </row>
    <row r="7543" s="2" customFormat="1" ht="30" customHeight="1" spans="1:6">
      <c r="A7543" s="9">
        <v>7540</v>
      </c>
      <c r="B7543" s="10" t="s">
        <v>7043</v>
      </c>
      <c r="C7543" s="10" t="s">
        <v>7044</v>
      </c>
      <c r="D7543" s="10" t="s">
        <v>7231</v>
      </c>
      <c r="E7543" s="10" t="str">
        <f>"644020240515161340181817"</f>
        <v>644020240515161340181817</v>
      </c>
      <c r="F7543" s="9"/>
    </row>
    <row r="7544" s="2" customFormat="1" ht="30" customHeight="1" spans="1:6">
      <c r="A7544" s="9">
        <v>7541</v>
      </c>
      <c r="B7544" s="10" t="s">
        <v>7043</v>
      </c>
      <c r="C7544" s="10" t="s">
        <v>7044</v>
      </c>
      <c r="D7544" s="10" t="s">
        <v>7232</v>
      </c>
      <c r="E7544" s="10" t="str">
        <f>"644020240517084356184653"</f>
        <v>644020240517084356184653</v>
      </c>
      <c r="F7544" s="9"/>
    </row>
    <row r="7545" s="2" customFormat="1" ht="30" customHeight="1" spans="1:6">
      <c r="A7545" s="9">
        <v>7542</v>
      </c>
      <c r="B7545" s="10" t="s">
        <v>7043</v>
      </c>
      <c r="C7545" s="10" t="s">
        <v>7044</v>
      </c>
      <c r="D7545" s="10" t="s">
        <v>7233</v>
      </c>
      <c r="E7545" s="10" t="str">
        <f>"644020240517090146184690"</f>
        <v>644020240517090146184690</v>
      </c>
      <c r="F7545" s="9"/>
    </row>
    <row r="7546" s="2" customFormat="1" ht="30" customHeight="1" spans="1:6">
      <c r="A7546" s="9">
        <v>7543</v>
      </c>
      <c r="B7546" s="10" t="s">
        <v>7043</v>
      </c>
      <c r="C7546" s="10" t="s">
        <v>7044</v>
      </c>
      <c r="D7546" s="10" t="s">
        <v>7234</v>
      </c>
      <c r="E7546" s="10" t="str">
        <f>"644020240515220517182349"</f>
        <v>644020240515220517182349</v>
      </c>
      <c r="F7546" s="9"/>
    </row>
    <row r="7547" s="2" customFormat="1" ht="30" customHeight="1" spans="1:6">
      <c r="A7547" s="9">
        <v>7544</v>
      </c>
      <c r="B7547" s="10" t="s">
        <v>7043</v>
      </c>
      <c r="C7547" s="10" t="s">
        <v>7044</v>
      </c>
      <c r="D7547" s="10" t="s">
        <v>7235</v>
      </c>
      <c r="E7547" s="10" t="str">
        <f>"644020240517092007184724"</f>
        <v>644020240517092007184724</v>
      </c>
      <c r="F7547" s="9"/>
    </row>
    <row r="7548" s="2" customFormat="1" ht="30" customHeight="1" spans="1:6">
      <c r="A7548" s="9">
        <v>7545</v>
      </c>
      <c r="B7548" s="10" t="s">
        <v>7043</v>
      </c>
      <c r="C7548" s="10" t="s">
        <v>7044</v>
      </c>
      <c r="D7548" s="10" t="s">
        <v>7236</v>
      </c>
      <c r="E7548" s="10" t="str">
        <f>"644020240517094102184765"</f>
        <v>644020240517094102184765</v>
      </c>
      <c r="F7548" s="9"/>
    </row>
    <row r="7549" s="2" customFormat="1" ht="30" customHeight="1" spans="1:6">
      <c r="A7549" s="9">
        <v>7546</v>
      </c>
      <c r="B7549" s="10" t="s">
        <v>7043</v>
      </c>
      <c r="C7549" s="10" t="s">
        <v>7044</v>
      </c>
      <c r="D7549" s="10" t="s">
        <v>7237</v>
      </c>
      <c r="E7549" s="10" t="str">
        <f>"644020240517085956184684"</f>
        <v>644020240517085956184684</v>
      </c>
      <c r="F7549" s="9"/>
    </row>
    <row r="7550" s="2" customFormat="1" ht="30" customHeight="1" spans="1:6">
      <c r="A7550" s="9">
        <v>7547</v>
      </c>
      <c r="B7550" s="10" t="s">
        <v>7043</v>
      </c>
      <c r="C7550" s="10" t="s">
        <v>7044</v>
      </c>
      <c r="D7550" s="10" t="s">
        <v>7238</v>
      </c>
      <c r="E7550" s="10" t="str">
        <f>"644020240517103332184887"</f>
        <v>644020240517103332184887</v>
      </c>
      <c r="F7550" s="9"/>
    </row>
    <row r="7551" s="2" customFormat="1" ht="30" customHeight="1" spans="1:6">
      <c r="A7551" s="9">
        <v>7548</v>
      </c>
      <c r="B7551" s="10" t="s">
        <v>7043</v>
      </c>
      <c r="C7551" s="10" t="s">
        <v>7044</v>
      </c>
      <c r="D7551" s="10" t="s">
        <v>7239</v>
      </c>
      <c r="E7551" s="10" t="str">
        <f>"644020240514095406178241"</f>
        <v>644020240514095406178241</v>
      </c>
      <c r="F7551" s="9"/>
    </row>
    <row r="7552" s="2" customFormat="1" ht="30" customHeight="1" spans="1:6">
      <c r="A7552" s="9">
        <v>7549</v>
      </c>
      <c r="B7552" s="10" t="s">
        <v>7043</v>
      </c>
      <c r="C7552" s="10" t="s">
        <v>7044</v>
      </c>
      <c r="D7552" s="10" t="s">
        <v>7240</v>
      </c>
      <c r="E7552" s="10" t="str">
        <f>"644020240516231005184376"</f>
        <v>644020240516231005184376</v>
      </c>
      <c r="F7552" s="9"/>
    </row>
    <row r="7553" s="2" customFormat="1" ht="30" customHeight="1" spans="1:6">
      <c r="A7553" s="9">
        <v>7550</v>
      </c>
      <c r="B7553" s="10" t="s">
        <v>7043</v>
      </c>
      <c r="C7553" s="10" t="s">
        <v>7044</v>
      </c>
      <c r="D7553" s="10" t="s">
        <v>7241</v>
      </c>
      <c r="E7553" s="10" t="str">
        <f>"644020240517105804184945"</f>
        <v>644020240517105804184945</v>
      </c>
      <c r="F7553" s="9"/>
    </row>
    <row r="7554" s="2" customFormat="1" ht="30" customHeight="1" spans="1:6">
      <c r="A7554" s="9">
        <v>7551</v>
      </c>
      <c r="B7554" s="10" t="s">
        <v>7043</v>
      </c>
      <c r="C7554" s="10" t="s">
        <v>7044</v>
      </c>
      <c r="D7554" s="10" t="s">
        <v>7242</v>
      </c>
      <c r="E7554" s="10" t="str">
        <f>"644020240517111853184990"</f>
        <v>644020240517111853184990</v>
      </c>
      <c r="F7554" s="9"/>
    </row>
    <row r="7555" s="2" customFormat="1" ht="30" customHeight="1" spans="1:6">
      <c r="A7555" s="9">
        <v>7552</v>
      </c>
      <c r="B7555" s="10" t="s">
        <v>7043</v>
      </c>
      <c r="C7555" s="10" t="s">
        <v>7044</v>
      </c>
      <c r="D7555" s="10" t="s">
        <v>7243</v>
      </c>
      <c r="E7555" s="10" t="str">
        <f>"644020240517102129184865"</f>
        <v>644020240517102129184865</v>
      </c>
      <c r="F7555" s="9"/>
    </row>
    <row r="7556" s="2" customFormat="1" ht="30" customHeight="1" spans="1:6">
      <c r="A7556" s="9">
        <v>7553</v>
      </c>
      <c r="B7556" s="10" t="s">
        <v>7043</v>
      </c>
      <c r="C7556" s="10" t="s">
        <v>7044</v>
      </c>
      <c r="D7556" s="10" t="s">
        <v>7244</v>
      </c>
      <c r="E7556" s="10" t="str">
        <f>"644020240516170628183780"</f>
        <v>644020240516170628183780</v>
      </c>
      <c r="F7556" s="9"/>
    </row>
    <row r="7557" s="2" customFormat="1" ht="30" customHeight="1" spans="1:6">
      <c r="A7557" s="9">
        <v>7554</v>
      </c>
      <c r="B7557" s="10" t="s">
        <v>7043</v>
      </c>
      <c r="C7557" s="10" t="s">
        <v>7044</v>
      </c>
      <c r="D7557" s="10" t="s">
        <v>7245</v>
      </c>
      <c r="E7557" s="10" t="str">
        <f>"644020240517113054185022"</f>
        <v>644020240517113054185022</v>
      </c>
      <c r="F7557" s="9"/>
    </row>
    <row r="7558" s="2" customFormat="1" ht="30" customHeight="1" spans="1:6">
      <c r="A7558" s="9">
        <v>7555</v>
      </c>
      <c r="B7558" s="10" t="s">
        <v>7043</v>
      </c>
      <c r="C7558" s="10" t="s">
        <v>7044</v>
      </c>
      <c r="D7558" s="10" t="s">
        <v>7246</v>
      </c>
      <c r="E7558" s="10" t="str">
        <f>"644020240516225509184348"</f>
        <v>644020240516225509184348</v>
      </c>
      <c r="F7558" s="9"/>
    </row>
    <row r="7559" s="2" customFormat="1" ht="30" customHeight="1" spans="1:6">
      <c r="A7559" s="9">
        <v>7556</v>
      </c>
      <c r="B7559" s="10" t="s">
        <v>7043</v>
      </c>
      <c r="C7559" s="10" t="s">
        <v>7044</v>
      </c>
      <c r="D7559" s="10" t="s">
        <v>7247</v>
      </c>
      <c r="E7559" s="10" t="str">
        <f>"644020240517130204185204"</f>
        <v>644020240517130204185204</v>
      </c>
      <c r="F7559" s="9"/>
    </row>
    <row r="7560" s="2" customFormat="1" ht="30" customHeight="1" spans="1:6">
      <c r="A7560" s="9">
        <v>7557</v>
      </c>
      <c r="B7560" s="10" t="s">
        <v>7043</v>
      </c>
      <c r="C7560" s="10" t="s">
        <v>7044</v>
      </c>
      <c r="D7560" s="10" t="s">
        <v>7248</v>
      </c>
      <c r="E7560" s="10" t="str">
        <f>"644020240517111535184984"</f>
        <v>644020240517111535184984</v>
      </c>
      <c r="F7560" s="9"/>
    </row>
    <row r="7561" s="2" customFormat="1" ht="30" customHeight="1" spans="1:6">
      <c r="A7561" s="9">
        <v>7558</v>
      </c>
      <c r="B7561" s="10" t="s">
        <v>7043</v>
      </c>
      <c r="C7561" s="10" t="s">
        <v>7044</v>
      </c>
      <c r="D7561" s="10" t="s">
        <v>7249</v>
      </c>
      <c r="E7561" s="10" t="str">
        <f>"644020240515225805182505"</f>
        <v>644020240515225805182505</v>
      </c>
      <c r="F7561" s="9"/>
    </row>
    <row r="7562" s="2" customFormat="1" ht="30" customHeight="1" spans="1:6">
      <c r="A7562" s="9">
        <v>7559</v>
      </c>
      <c r="B7562" s="10" t="s">
        <v>7043</v>
      </c>
      <c r="C7562" s="10" t="s">
        <v>7044</v>
      </c>
      <c r="D7562" s="10" t="s">
        <v>7250</v>
      </c>
      <c r="E7562" s="10" t="str">
        <f>"644020240517133306185269"</f>
        <v>644020240517133306185269</v>
      </c>
      <c r="F7562" s="9"/>
    </row>
    <row r="7563" s="2" customFormat="1" ht="30" customHeight="1" spans="1:6">
      <c r="A7563" s="9">
        <v>7560</v>
      </c>
      <c r="B7563" s="10" t="s">
        <v>7043</v>
      </c>
      <c r="C7563" s="10" t="s">
        <v>7044</v>
      </c>
      <c r="D7563" s="10" t="s">
        <v>7251</v>
      </c>
      <c r="E7563" s="10" t="str">
        <f>"644020240517074426184585"</f>
        <v>644020240517074426184585</v>
      </c>
      <c r="F7563" s="9"/>
    </row>
    <row r="7564" s="2" customFormat="1" ht="30" customHeight="1" spans="1:6">
      <c r="A7564" s="9">
        <v>7561</v>
      </c>
      <c r="B7564" s="10" t="s">
        <v>7043</v>
      </c>
      <c r="C7564" s="10" t="s">
        <v>7044</v>
      </c>
      <c r="D7564" s="10" t="s">
        <v>7252</v>
      </c>
      <c r="E7564" s="10" t="str">
        <f>"644020240517140523185315"</f>
        <v>644020240517140523185315</v>
      </c>
      <c r="F7564" s="9"/>
    </row>
    <row r="7565" s="2" customFormat="1" ht="30" customHeight="1" spans="1:6">
      <c r="A7565" s="9">
        <v>7562</v>
      </c>
      <c r="B7565" s="10" t="s">
        <v>7043</v>
      </c>
      <c r="C7565" s="10" t="s">
        <v>7044</v>
      </c>
      <c r="D7565" s="10" t="s">
        <v>7253</v>
      </c>
      <c r="E7565" s="10" t="str">
        <f>"644020240513220052177224"</f>
        <v>644020240513220052177224</v>
      </c>
      <c r="F7565" s="9"/>
    </row>
    <row r="7566" s="2" customFormat="1" ht="30" customHeight="1" spans="1:6">
      <c r="A7566" s="9">
        <v>7563</v>
      </c>
      <c r="B7566" s="10" t="s">
        <v>7043</v>
      </c>
      <c r="C7566" s="10" t="s">
        <v>7044</v>
      </c>
      <c r="D7566" s="10" t="s">
        <v>7254</v>
      </c>
      <c r="E7566" s="10" t="str">
        <f>"644020240516143516183440"</f>
        <v>644020240516143516183440</v>
      </c>
      <c r="F7566" s="9"/>
    </row>
    <row r="7567" s="2" customFormat="1" ht="30" customHeight="1" spans="1:6">
      <c r="A7567" s="9">
        <v>7564</v>
      </c>
      <c r="B7567" s="10" t="s">
        <v>7043</v>
      </c>
      <c r="C7567" s="10" t="s">
        <v>7044</v>
      </c>
      <c r="D7567" s="10" t="s">
        <v>7255</v>
      </c>
      <c r="E7567" s="10" t="str">
        <f>"644020240517152101185483"</f>
        <v>644020240517152101185483</v>
      </c>
      <c r="F7567" s="9"/>
    </row>
    <row r="7568" s="2" customFormat="1" ht="30" customHeight="1" spans="1:6">
      <c r="A7568" s="9">
        <v>7565</v>
      </c>
      <c r="B7568" s="10" t="s">
        <v>7043</v>
      </c>
      <c r="C7568" s="10" t="s">
        <v>7044</v>
      </c>
      <c r="D7568" s="10" t="s">
        <v>7256</v>
      </c>
      <c r="E7568" s="10" t="str">
        <f>"644020240517151437185460"</f>
        <v>644020240517151437185460</v>
      </c>
      <c r="F7568" s="9"/>
    </row>
    <row r="7569" s="2" customFormat="1" ht="30" customHeight="1" spans="1:6">
      <c r="A7569" s="9">
        <v>7566</v>
      </c>
      <c r="B7569" s="10" t="s">
        <v>7043</v>
      </c>
      <c r="C7569" s="10" t="s">
        <v>7044</v>
      </c>
      <c r="D7569" s="10" t="s">
        <v>7257</v>
      </c>
      <c r="E7569" s="10" t="str">
        <f>"644020240517152855185505"</f>
        <v>644020240517152855185505</v>
      </c>
      <c r="F7569" s="9"/>
    </row>
    <row r="7570" s="2" customFormat="1" ht="30" customHeight="1" spans="1:6">
      <c r="A7570" s="9">
        <v>7567</v>
      </c>
      <c r="B7570" s="10" t="s">
        <v>7043</v>
      </c>
      <c r="C7570" s="10" t="s">
        <v>7044</v>
      </c>
      <c r="D7570" s="10" t="s">
        <v>1766</v>
      </c>
      <c r="E7570" s="10" t="str">
        <f>"644020240517154319185541"</f>
        <v>644020240517154319185541</v>
      </c>
      <c r="F7570" s="9"/>
    </row>
    <row r="7571" s="2" customFormat="1" ht="30" customHeight="1" spans="1:6">
      <c r="A7571" s="9">
        <v>7568</v>
      </c>
      <c r="B7571" s="10" t="s">
        <v>7043</v>
      </c>
      <c r="C7571" s="10" t="s">
        <v>7044</v>
      </c>
      <c r="D7571" s="10" t="s">
        <v>7258</v>
      </c>
      <c r="E7571" s="10" t="str">
        <f>"644020240514151627179251"</f>
        <v>644020240514151627179251</v>
      </c>
      <c r="F7571" s="9"/>
    </row>
    <row r="7572" s="2" customFormat="1" ht="30" customHeight="1" spans="1:6">
      <c r="A7572" s="9">
        <v>7569</v>
      </c>
      <c r="B7572" s="10" t="s">
        <v>7043</v>
      </c>
      <c r="C7572" s="10" t="s">
        <v>7044</v>
      </c>
      <c r="D7572" s="10" t="s">
        <v>7259</v>
      </c>
      <c r="E7572" s="10" t="str">
        <f>"644020240517153509185524"</f>
        <v>644020240517153509185524</v>
      </c>
      <c r="F7572" s="9"/>
    </row>
    <row r="7573" s="2" customFormat="1" ht="30" customHeight="1" spans="1:6">
      <c r="A7573" s="9">
        <v>7570</v>
      </c>
      <c r="B7573" s="10" t="s">
        <v>7043</v>
      </c>
      <c r="C7573" s="10" t="s">
        <v>7044</v>
      </c>
      <c r="D7573" s="10" t="s">
        <v>5872</v>
      </c>
      <c r="E7573" s="10" t="str">
        <f>"644020240517161212185617"</f>
        <v>644020240517161212185617</v>
      </c>
      <c r="F7573" s="9"/>
    </row>
    <row r="7574" s="2" customFormat="1" ht="30" customHeight="1" spans="1:6">
      <c r="A7574" s="9">
        <v>7571</v>
      </c>
      <c r="B7574" s="10" t="s">
        <v>7043</v>
      </c>
      <c r="C7574" s="10" t="s">
        <v>7044</v>
      </c>
      <c r="D7574" s="10" t="s">
        <v>7260</v>
      </c>
      <c r="E7574" s="10" t="str">
        <f>"644020240517163813185667"</f>
        <v>644020240517163813185667</v>
      </c>
      <c r="F7574" s="9"/>
    </row>
    <row r="7575" s="2" customFormat="1" ht="30" customHeight="1" spans="1:6">
      <c r="A7575" s="9">
        <v>7572</v>
      </c>
      <c r="B7575" s="10" t="s">
        <v>7043</v>
      </c>
      <c r="C7575" s="10" t="s">
        <v>7044</v>
      </c>
      <c r="D7575" s="10" t="s">
        <v>7261</v>
      </c>
      <c r="E7575" s="10" t="str">
        <f>"644020240516224501184328"</f>
        <v>644020240516224501184328</v>
      </c>
      <c r="F7575" s="9"/>
    </row>
    <row r="7576" s="2" customFormat="1" ht="30" customHeight="1" spans="1:6">
      <c r="A7576" s="9">
        <v>7573</v>
      </c>
      <c r="B7576" s="10" t="s">
        <v>7043</v>
      </c>
      <c r="C7576" s="10" t="s">
        <v>7044</v>
      </c>
      <c r="D7576" s="10" t="s">
        <v>7262</v>
      </c>
      <c r="E7576" s="10" t="str">
        <f>"644020240517170526185711"</f>
        <v>644020240517170526185711</v>
      </c>
      <c r="F7576" s="9"/>
    </row>
    <row r="7577" s="2" customFormat="1" ht="30" customHeight="1" spans="1:6">
      <c r="A7577" s="9">
        <v>7574</v>
      </c>
      <c r="B7577" s="10" t="s">
        <v>7043</v>
      </c>
      <c r="C7577" s="10" t="s">
        <v>7044</v>
      </c>
      <c r="D7577" s="10" t="s">
        <v>7263</v>
      </c>
      <c r="E7577" s="10" t="str">
        <f>"644020240517170206185704"</f>
        <v>644020240517170206185704</v>
      </c>
      <c r="F7577" s="9"/>
    </row>
    <row r="7578" s="2" customFormat="1" ht="30" customHeight="1" spans="1:6">
      <c r="A7578" s="9">
        <v>7575</v>
      </c>
      <c r="B7578" s="10" t="s">
        <v>7043</v>
      </c>
      <c r="C7578" s="10" t="s">
        <v>7044</v>
      </c>
      <c r="D7578" s="10" t="s">
        <v>7264</v>
      </c>
      <c r="E7578" s="10" t="str">
        <f>"644020240517163314185657"</f>
        <v>644020240517163314185657</v>
      </c>
      <c r="F7578" s="9"/>
    </row>
    <row r="7579" s="2" customFormat="1" ht="30" customHeight="1" spans="1:6">
      <c r="A7579" s="9">
        <v>7576</v>
      </c>
      <c r="B7579" s="10" t="s">
        <v>7043</v>
      </c>
      <c r="C7579" s="10" t="s">
        <v>7044</v>
      </c>
      <c r="D7579" s="10" t="s">
        <v>7265</v>
      </c>
      <c r="E7579" s="10" t="str">
        <f>"644020240516213436184150"</f>
        <v>644020240516213436184150</v>
      </c>
      <c r="F7579" s="9"/>
    </row>
    <row r="7580" s="2" customFormat="1" ht="30" customHeight="1" spans="1:6">
      <c r="A7580" s="9">
        <v>7577</v>
      </c>
      <c r="B7580" s="10" t="s">
        <v>7043</v>
      </c>
      <c r="C7580" s="10" t="s">
        <v>7044</v>
      </c>
      <c r="D7580" s="10" t="s">
        <v>7266</v>
      </c>
      <c r="E7580" s="10" t="str">
        <f>"644020240517090735184700"</f>
        <v>644020240517090735184700</v>
      </c>
      <c r="F7580" s="9"/>
    </row>
    <row r="7581" s="2" customFormat="1" ht="30" customHeight="1" spans="1:6">
      <c r="A7581" s="9">
        <v>7578</v>
      </c>
      <c r="B7581" s="10" t="s">
        <v>7043</v>
      </c>
      <c r="C7581" s="10" t="s">
        <v>7044</v>
      </c>
      <c r="D7581" s="10" t="s">
        <v>7267</v>
      </c>
      <c r="E7581" s="10" t="str">
        <f>"644020240517001041184472"</f>
        <v>644020240517001041184472</v>
      </c>
      <c r="F7581" s="9"/>
    </row>
    <row r="7582" s="2" customFormat="1" ht="30" customHeight="1" spans="1:6">
      <c r="A7582" s="9">
        <v>7579</v>
      </c>
      <c r="B7582" s="10" t="s">
        <v>7043</v>
      </c>
      <c r="C7582" s="10" t="s">
        <v>7044</v>
      </c>
      <c r="D7582" s="10" t="s">
        <v>7268</v>
      </c>
      <c r="E7582" s="10" t="str">
        <f>"644020240517185001185859"</f>
        <v>644020240517185001185859</v>
      </c>
      <c r="F7582" s="9"/>
    </row>
    <row r="7583" s="2" customFormat="1" ht="30" customHeight="1" spans="1:6">
      <c r="A7583" s="9">
        <v>7580</v>
      </c>
      <c r="B7583" s="10" t="s">
        <v>7043</v>
      </c>
      <c r="C7583" s="10" t="s">
        <v>7044</v>
      </c>
      <c r="D7583" s="10" t="s">
        <v>7269</v>
      </c>
      <c r="E7583" s="10" t="str">
        <f>"644020240517183422185840"</f>
        <v>644020240517183422185840</v>
      </c>
      <c r="F7583" s="9"/>
    </row>
    <row r="7584" s="2" customFormat="1" ht="30" customHeight="1" spans="1:6">
      <c r="A7584" s="9">
        <v>7581</v>
      </c>
      <c r="B7584" s="10" t="s">
        <v>7043</v>
      </c>
      <c r="C7584" s="10" t="s">
        <v>7044</v>
      </c>
      <c r="D7584" s="10" t="s">
        <v>7270</v>
      </c>
      <c r="E7584" s="10" t="str">
        <f>"644020240517190629185872"</f>
        <v>644020240517190629185872</v>
      </c>
      <c r="F7584" s="9"/>
    </row>
    <row r="7585" s="2" customFormat="1" ht="30" customHeight="1" spans="1:6">
      <c r="A7585" s="9">
        <v>7582</v>
      </c>
      <c r="B7585" s="10" t="s">
        <v>7043</v>
      </c>
      <c r="C7585" s="10" t="s">
        <v>7044</v>
      </c>
      <c r="D7585" s="10" t="s">
        <v>7271</v>
      </c>
      <c r="E7585" s="10" t="str">
        <f>"644020240512110139168732"</f>
        <v>644020240512110139168732</v>
      </c>
      <c r="F7585" s="9"/>
    </row>
    <row r="7586" s="2" customFormat="1" ht="30" customHeight="1" spans="1:6">
      <c r="A7586" s="9">
        <v>7583</v>
      </c>
      <c r="B7586" s="10" t="s">
        <v>7043</v>
      </c>
      <c r="C7586" s="10" t="s">
        <v>7044</v>
      </c>
      <c r="D7586" s="10" t="s">
        <v>7272</v>
      </c>
      <c r="E7586" s="10" t="str">
        <f>"644020240516002502182660"</f>
        <v>644020240516002502182660</v>
      </c>
      <c r="F7586" s="9"/>
    </row>
    <row r="7587" s="2" customFormat="1" ht="30" customHeight="1" spans="1:6">
      <c r="A7587" s="9">
        <v>7584</v>
      </c>
      <c r="B7587" s="10" t="s">
        <v>7043</v>
      </c>
      <c r="C7587" s="10" t="s">
        <v>7044</v>
      </c>
      <c r="D7587" s="10" t="s">
        <v>7273</v>
      </c>
      <c r="E7587" s="10" t="str">
        <f>"644020240517212950186000"</f>
        <v>644020240517212950186000</v>
      </c>
      <c r="F7587" s="9"/>
    </row>
    <row r="7588" s="2" customFormat="1" ht="30" customHeight="1" spans="1:6">
      <c r="A7588" s="9">
        <v>7585</v>
      </c>
      <c r="B7588" s="10" t="s">
        <v>7043</v>
      </c>
      <c r="C7588" s="10" t="s">
        <v>7044</v>
      </c>
      <c r="D7588" s="10" t="s">
        <v>7274</v>
      </c>
      <c r="E7588" s="10" t="str">
        <f>"644020240514155354179378"</f>
        <v>644020240514155354179378</v>
      </c>
      <c r="F7588" s="9"/>
    </row>
    <row r="7589" s="2" customFormat="1" ht="30" customHeight="1" spans="1:6">
      <c r="A7589" s="9">
        <v>7586</v>
      </c>
      <c r="B7589" s="10" t="s">
        <v>7043</v>
      </c>
      <c r="C7589" s="10" t="s">
        <v>7044</v>
      </c>
      <c r="D7589" s="10" t="s">
        <v>7275</v>
      </c>
      <c r="E7589" s="10" t="str">
        <f>"644020240517214444186025"</f>
        <v>644020240517214444186025</v>
      </c>
      <c r="F7589" s="9"/>
    </row>
    <row r="7590" s="2" customFormat="1" ht="30" customHeight="1" spans="1:6">
      <c r="A7590" s="9">
        <v>7587</v>
      </c>
      <c r="B7590" s="10" t="s">
        <v>7043</v>
      </c>
      <c r="C7590" s="10" t="s">
        <v>7044</v>
      </c>
      <c r="D7590" s="10" t="s">
        <v>7276</v>
      </c>
      <c r="E7590" s="10" t="str">
        <f>"644020240517235107186138"</f>
        <v>644020240517235107186138</v>
      </c>
      <c r="F7590" s="9"/>
    </row>
    <row r="7591" s="2" customFormat="1" ht="30" customHeight="1" spans="1:6">
      <c r="A7591" s="9">
        <v>7588</v>
      </c>
      <c r="B7591" s="10" t="s">
        <v>7043</v>
      </c>
      <c r="C7591" s="10" t="s">
        <v>7044</v>
      </c>
      <c r="D7591" s="10" t="s">
        <v>7277</v>
      </c>
      <c r="E7591" s="10" t="str">
        <f>"644020240517233749186118"</f>
        <v>644020240517233749186118</v>
      </c>
      <c r="F7591" s="9"/>
    </row>
    <row r="7592" s="2" customFormat="1" ht="30" customHeight="1" spans="1:6">
      <c r="A7592" s="9">
        <v>7589</v>
      </c>
      <c r="B7592" s="10" t="s">
        <v>7043</v>
      </c>
      <c r="C7592" s="10" t="s">
        <v>7044</v>
      </c>
      <c r="D7592" s="10" t="s">
        <v>7278</v>
      </c>
      <c r="E7592" s="10" t="str">
        <f>"644020240516153557183557"</f>
        <v>644020240516153557183557</v>
      </c>
      <c r="F7592" s="9"/>
    </row>
    <row r="7593" s="2" customFormat="1" ht="30" customHeight="1" spans="1:6">
      <c r="A7593" s="9">
        <v>7590</v>
      </c>
      <c r="B7593" s="10" t="s">
        <v>7043</v>
      </c>
      <c r="C7593" s="10" t="s">
        <v>7044</v>
      </c>
      <c r="D7593" s="10" t="s">
        <v>7279</v>
      </c>
      <c r="E7593" s="10" t="str">
        <f>"644020240516010856182681"</f>
        <v>644020240516010856182681</v>
      </c>
      <c r="F7593" s="9"/>
    </row>
    <row r="7594" s="2" customFormat="1" ht="30" customHeight="1" spans="1:6">
      <c r="A7594" s="9">
        <v>7591</v>
      </c>
      <c r="B7594" s="10" t="s">
        <v>7043</v>
      </c>
      <c r="C7594" s="10" t="s">
        <v>7044</v>
      </c>
      <c r="D7594" s="10" t="s">
        <v>7280</v>
      </c>
      <c r="E7594" s="10" t="str">
        <f>"644020240517143831185377"</f>
        <v>644020240517143831185377</v>
      </c>
      <c r="F7594" s="9"/>
    </row>
    <row r="7595" s="2" customFormat="1" ht="30" customHeight="1" spans="1:6">
      <c r="A7595" s="9">
        <v>7592</v>
      </c>
      <c r="B7595" s="10" t="s">
        <v>7043</v>
      </c>
      <c r="C7595" s="10" t="s">
        <v>7044</v>
      </c>
      <c r="D7595" s="10" t="s">
        <v>7281</v>
      </c>
      <c r="E7595" s="10" t="str">
        <f>"644020240513233734177595"</f>
        <v>644020240513233734177595</v>
      </c>
      <c r="F7595" s="9"/>
    </row>
    <row r="7596" s="2" customFormat="1" ht="30" customHeight="1" spans="1:6">
      <c r="A7596" s="9">
        <v>7593</v>
      </c>
      <c r="B7596" s="10" t="s">
        <v>7043</v>
      </c>
      <c r="C7596" s="10" t="s">
        <v>7044</v>
      </c>
      <c r="D7596" s="10" t="s">
        <v>93</v>
      </c>
      <c r="E7596" s="10" t="str">
        <f>"644020240518013315186255"</f>
        <v>644020240518013315186255</v>
      </c>
      <c r="F7596" s="9"/>
    </row>
    <row r="7597" s="2" customFormat="1" ht="30" customHeight="1" spans="1:6">
      <c r="A7597" s="9">
        <v>7594</v>
      </c>
      <c r="B7597" s="10" t="s">
        <v>7043</v>
      </c>
      <c r="C7597" s="10" t="s">
        <v>7044</v>
      </c>
      <c r="D7597" s="10" t="s">
        <v>7282</v>
      </c>
      <c r="E7597" s="10" t="str">
        <f>"644020240518025829186287"</f>
        <v>644020240518025829186287</v>
      </c>
      <c r="F7597" s="9"/>
    </row>
    <row r="7598" s="2" customFormat="1" ht="30" customHeight="1" spans="1:6">
      <c r="A7598" s="9">
        <v>7595</v>
      </c>
      <c r="B7598" s="10" t="s">
        <v>7043</v>
      </c>
      <c r="C7598" s="10" t="s">
        <v>7044</v>
      </c>
      <c r="D7598" s="10" t="s">
        <v>1600</v>
      </c>
      <c r="E7598" s="10" t="str">
        <f>"644020240518072036186334"</f>
        <v>644020240518072036186334</v>
      </c>
      <c r="F7598" s="9"/>
    </row>
    <row r="7599" s="2" customFormat="1" ht="30" customHeight="1" spans="1:6">
      <c r="A7599" s="9">
        <v>7596</v>
      </c>
      <c r="B7599" s="10" t="s">
        <v>7043</v>
      </c>
      <c r="C7599" s="10" t="s">
        <v>7044</v>
      </c>
      <c r="D7599" s="10" t="s">
        <v>7283</v>
      </c>
      <c r="E7599" s="10" t="str">
        <f>"644020240518081014186373"</f>
        <v>644020240518081014186373</v>
      </c>
      <c r="F7599" s="9"/>
    </row>
    <row r="7600" s="2" customFormat="1" ht="30" customHeight="1" spans="1:6">
      <c r="A7600" s="9">
        <v>7597</v>
      </c>
      <c r="B7600" s="10" t="s">
        <v>7043</v>
      </c>
      <c r="C7600" s="10" t="s">
        <v>7044</v>
      </c>
      <c r="D7600" s="10" t="s">
        <v>7284</v>
      </c>
      <c r="E7600" s="10" t="str">
        <f>"644020240518083238186406"</f>
        <v>644020240518083238186406</v>
      </c>
      <c r="F7600" s="9"/>
    </row>
    <row r="7601" s="2" customFormat="1" ht="30" customHeight="1" spans="1:6">
      <c r="A7601" s="9">
        <v>7598</v>
      </c>
      <c r="B7601" s="10" t="s">
        <v>7043</v>
      </c>
      <c r="C7601" s="10" t="s">
        <v>7044</v>
      </c>
      <c r="D7601" s="10" t="s">
        <v>2243</v>
      </c>
      <c r="E7601" s="10" t="str">
        <f>"644020240518090738186460"</f>
        <v>644020240518090738186460</v>
      </c>
      <c r="F7601" s="9"/>
    </row>
    <row r="7602" s="2" customFormat="1" ht="30" customHeight="1" spans="1:6">
      <c r="A7602" s="9">
        <v>7599</v>
      </c>
      <c r="B7602" s="10" t="s">
        <v>7043</v>
      </c>
      <c r="C7602" s="10" t="s">
        <v>7044</v>
      </c>
      <c r="D7602" s="10" t="s">
        <v>7285</v>
      </c>
      <c r="E7602" s="10" t="str">
        <f>"644020240515001831180589"</f>
        <v>644020240515001831180589</v>
      </c>
      <c r="F7602" s="9"/>
    </row>
    <row r="7603" s="2" customFormat="1" ht="30" customHeight="1" spans="1:6">
      <c r="A7603" s="9">
        <v>7600</v>
      </c>
      <c r="B7603" s="10" t="s">
        <v>7043</v>
      </c>
      <c r="C7603" s="10" t="s">
        <v>7044</v>
      </c>
      <c r="D7603" s="10" t="s">
        <v>7286</v>
      </c>
      <c r="E7603" s="10" t="str">
        <f>"644020240518100125186576"</f>
        <v>644020240518100125186576</v>
      </c>
      <c r="F7603" s="9"/>
    </row>
    <row r="7604" s="2" customFormat="1" ht="30" customHeight="1" spans="1:6">
      <c r="A7604" s="9">
        <v>7601</v>
      </c>
      <c r="B7604" s="10" t="s">
        <v>7043</v>
      </c>
      <c r="C7604" s="10" t="s">
        <v>7044</v>
      </c>
      <c r="D7604" s="10" t="s">
        <v>7287</v>
      </c>
      <c r="E7604" s="10" t="str">
        <f>"644020240518093941186520"</f>
        <v>644020240518093941186520</v>
      </c>
      <c r="F7604" s="9"/>
    </row>
    <row r="7605" s="2" customFormat="1" ht="30" customHeight="1" spans="1:6">
      <c r="A7605" s="9">
        <v>7602</v>
      </c>
      <c r="B7605" s="10" t="s">
        <v>7043</v>
      </c>
      <c r="C7605" s="10" t="s">
        <v>7044</v>
      </c>
      <c r="D7605" s="10" t="s">
        <v>7288</v>
      </c>
      <c r="E7605" s="10" t="str">
        <f>"644020240518092523186494"</f>
        <v>644020240518092523186494</v>
      </c>
      <c r="F7605" s="9"/>
    </row>
    <row r="7606" s="2" customFormat="1" ht="30" customHeight="1" spans="1:6">
      <c r="A7606" s="9">
        <v>7603</v>
      </c>
      <c r="B7606" s="10" t="s">
        <v>7043</v>
      </c>
      <c r="C7606" s="10" t="s">
        <v>7044</v>
      </c>
      <c r="D7606" s="10" t="s">
        <v>7289</v>
      </c>
      <c r="E7606" s="10" t="str">
        <f>"644020240518090424186454"</f>
        <v>644020240518090424186454</v>
      </c>
      <c r="F7606" s="9"/>
    </row>
    <row r="7607" s="2" customFormat="1" ht="30" customHeight="1" spans="1:6">
      <c r="A7607" s="9">
        <v>7604</v>
      </c>
      <c r="B7607" s="10" t="s">
        <v>7043</v>
      </c>
      <c r="C7607" s="10" t="s">
        <v>7044</v>
      </c>
      <c r="D7607" s="10" t="s">
        <v>7290</v>
      </c>
      <c r="E7607" s="10" t="str">
        <f>"644020240518103247186654"</f>
        <v>644020240518103247186654</v>
      </c>
      <c r="F7607" s="9"/>
    </row>
    <row r="7608" s="2" customFormat="1" ht="30" customHeight="1" spans="1:6">
      <c r="A7608" s="9">
        <v>7605</v>
      </c>
      <c r="B7608" s="10" t="s">
        <v>7043</v>
      </c>
      <c r="C7608" s="10" t="s">
        <v>7044</v>
      </c>
      <c r="D7608" s="10" t="s">
        <v>7291</v>
      </c>
      <c r="E7608" s="10" t="str">
        <f>"644020240518104716186694"</f>
        <v>644020240518104716186694</v>
      </c>
      <c r="F7608" s="9"/>
    </row>
    <row r="7609" s="2" customFormat="1" ht="30" customHeight="1" spans="1:6">
      <c r="A7609" s="9">
        <v>7606</v>
      </c>
      <c r="B7609" s="10" t="s">
        <v>7043</v>
      </c>
      <c r="C7609" s="10" t="s">
        <v>7044</v>
      </c>
      <c r="D7609" s="10" t="s">
        <v>7292</v>
      </c>
      <c r="E7609" s="10" t="str">
        <f>"644020240518094915186545"</f>
        <v>644020240518094915186545</v>
      </c>
      <c r="F7609" s="9"/>
    </row>
    <row r="7610" s="2" customFormat="1" ht="30" customHeight="1" spans="1:6">
      <c r="A7610" s="9">
        <v>7607</v>
      </c>
      <c r="B7610" s="10" t="s">
        <v>7043</v>
      </c>
      <c r="C7610" s="10" t="s">
        <v>7044</v>
      </c>
      <c r="D7610" s="10" t="s">
        <v>7293</v>
      </c>
      <c r="E7610" s="10" t="str">
        <f>"644020240518101757186614"</f>
        <v>644020240518101757186614</v>
      </c>
      <c r="F7610" s="9"/>
    </row>
    <row r="7611" s="2" customFormat="1" ht="30" customHeight="1" spans="1:6">
      <c r="A7611" s="9">
        <v>7608</v>
      </c>
      <c r="B7611" s="10" t="s">
        <v>7294</v>
      </c>
      <c r="C7611" s="10" t="s">
        <v>7295</v>
      </c>
      <c r="D7611" s="10" t="s">
        <v>7296</v>
      </c>
      <c r="E7611" s="10" t="str">
        <f>"644020240512091154168155"</f>
        <v>644020240512091154168155</v>
      </c>
      <c r="F7611" s="9"/>
    </row>
    <row r="7612" s="2" customFormat="1" ht="30" customHeight="1" spans="1:6">
      <c r="A7612" s="9">
        <v>7609</v>
      </c>
      <c r="B7612" s="10" t="s">
        <v>7294</v>
      </c>
      <c r="C7612" s="10" t="s">
        <v>7295</v>
      </c>
      <c r="D7612" s="10" t="s">
        <v>7297</v>
      </c>
      <c r="E7612" s="10" t="str">
        <f>"644020240512104237168635"</f>
        <v>644020240512104237168635</v>
      </c>
      <c r="F7612" s="9"/>
    </row>
    <row r="7613" s="2" customFormat="1" ht="30" customHeight="1" spans="1:6">
      <c r="A7613" s="9">
        <v>7610</v>
      </c>
      <c r="B7613" s="10" t="s">
        <v>7294</v>
      </c>
      <c r="C7613" s="10" t="s">
        <v>7295</v>
      </c>
      <c r="D7613" s="10" t="s">
        <v>7298</v>
      </c>
      <c r="E7613" s="10" t="str">
        <f>"644020240512111223168783"</f>
        <v>644020240512111223168783</v>
      </c>
      <c r="F7613" s="9"/>
    </row>
    <row r="7614" s="2" customFormat="1" ht="30" customHeight="1" spans="1:6">
      <c r="A7614" s="9">
        <v>7611</v>
      </c>
      <c r="B7614" s="10" t="s">
        <v>7294</v>
      </c>
      <c r="C7614" s="10" t="s">
        <v>7295</v>
      </c>
      <c r="D7614" s="10" t="s">
        <v>7299</v>
      </c>
      <c r="E7614" s="10" t="str">
        <f>"644020240512124406169187"</f>
        <v>644020240512124406169187</v>
      </c>
      <c r="F7614" s="9"/>
    </row>
    <row r="7615" s="2" customFormat="1" ht="30" customHeight="1" spans="1:6">
      <c r="A7615" s="9">
        <v>7612</v>
      </c>
      <c r="B7615" s="10" t="s">
        <v>7294</v>
      </c>
      <c r="C7615" s="10" t="s">
        <v>7295</v>
      </c>
      <c r="D7615" s="10" t="s">
        <v>7300</v>
      </c>
      <c r="E7615" s="10" t="str">
        <f>"644020240512150722169674"</f>
        <v>644020240512150722169674</v>
      </c>
      <c r="F7615" s="9"/>
    </row>
    <row r="7616" s="2" customFormat="1" ht="30" customHeight="1" spans="1:6">
      <c r="A7616" s="9">
        <v>7613</v>
      </c>
      <c r="B7616" s="10" t="s">
        <v>7294</v>
      </c>
      <c r="C7616" s="10" t="s">
        <v>7295</v>
      </c>
      <c r="D7616" s="10" t="s">
        <v>7301</v>
      </c>
      <c r="E7616" s="10" t="str">
        <f>"644020240512153219169772"</f>
        <v>644020240512153219169772</v>
      </c>
      <c r="F7616" s="9"/>
    </row>
    <row r="7617" s="2" customFormat="1" ht="30" customHeight="1" spans="1:6">
      <c r="A7617" s="9">
        <v>7614</v>
      </c>
      <c r="B7617" s="10" t="s">
        <v>7294</v>
      </c>
      <c r="C7617" s="10" t="s">
        <v>7295</v>
      </c>
      <c r="D7617" s="10" t="s">
        <v>7302</v>
      </c>
      <c r="E7617" s="10" t="str">
        <f>"644020240512154352169812"</f>
        <v>644020240512154352169812</v>
      </c>
      <c r="F7617" s="9"/>
    </row>
    <row r="7618" s="2" customFormat="1" ht="30" customHeight="1" spans="1:6">
      <c r="A7618" s="9">
        <v>7615</v>
      </c>
      <c r="B7618" s="10" t="s">
        <v>7294</v>
      </c>
      <c r="C7618" s="10" t="s">
        <v>7295</v>
      </c>
      <c r="D7618" s="10" t="s">
        <v>7303</v>
      </c>
      <c r="E7618" s="10" t="str">
        <f>"644020240512102218168516"</f>
        <v>644020240512102218168516</v>
      </c>
      <c r="F7618" s="9"/>
    </row>
    <row r="7619" s="2" customFormat="1" ht="30" customHeight="1" spans="1:6">
      <c r="A7619" s="9">
        <v>7616</v>
      </c>
      <c r="B7619" s="10" t="s">
        <v>7294</v>
      </c>
      <c r="C7619" s="10" t="s">
        <v>7295</v>
      </c>
      <c r="D7619" s="10" t="s">
        <v>7304</v>
      </c>
      <c r="E7619" s="10" t="str">
        <f>"644020240512150317169660"</f>
        <v>644020240512150317169660</v>
      </c>
      <c r="F7619" s="9"/>
    </row>
    <row r="7620" s="2" customFormat="1" ht="30" customHeight="1" spans="1:6">
      <c r="A7620" s="9">
        <v>7617</v>
      </c>
      <c r="B7620" s="10" t="s">
        <v>7294</v>
      </c>
      <c r="C7620" s="10" t="s">
        <v>7295</v>
      </c>
      <c r="D7620" s="10" t="s">
        <v>7305</v>
      </c>
      <c r="E7620" s="10" t="str">
        <f>"644020240512182526170381"</f>
        <v>644020240512182526170381</v>
      </c>
      <c r="F7620" s="9"/>
    </row>
    <row r="7621" s="2" customFormat="1" ht="30" customHeight="1" spans="1:6">
      <c r="A7621" s="9">
        <v>7618</v>
      </c>
      <c r="B7621" s="10" t="s">
        <v>7294</v>
      </c>
      <c r="C7621" s="10" t="s">
        <v>7295</v>
      </c>
      <c r="D7621" s="10" t="s">
        <v>7306</v>
      </c>
      <c r="E7621" s="10" t="str">
        <f>"644020240512184323170451"</f>
        <v>644020240512184323170451</v>
      </c>
      <c r="F7621" s="9"/>
    </row>
    <row r="7622" s="2" customFormat="1" ht="30" customHeight="1" spans="1:6">
      <c r="A7622" s="9">
        <v>7619</v>
      </c>
      <c r="B7622" s="10" t="s">
        <v>7294</v>
      </c>
      <c r="C7622" s="10" t="s">
        <v>7295</v>
      </c>
      <c r="D7622" s="10" t="s">
        <v>7307</v>
      </c>
      <c r="E7622" s="10" t="str">
        <f>"644020240512190644170528"</f>
        <v>644020240512190644170528</v>
      </c>
      <c r="F7622" s="9"/>
    </row>
    <row r="7623" s="2" customFormat="1" ht="30" customHeight="1" spans="1:6">
      <c r="A7623" s="9">
        <v>7620</v>
      </c>
      <c r="B7623" s="10" t="s">
        <v>7294</v>
      </c>
      <c r="C7623" s="10" t="s">
        <v>7295</v>
      </c>
      <c r="D7623" s="10" t="s">
        <v>7308</v>
      </c>
      <c r="E7623" s="10" t="str">
        <f>"644020240512183001170396"</f>
        <v>644020240512183001170396</v>
      </c>
      <c r="F7623" s="9"/>
    </row>
    <row r="7624" s="2" customFormat="1" ht="30" customHeight="1" spans="1:6">
      <c r="A7624" s="9">
        <v>7621</v>
      </c>
      <c r="B7624" s="10" t="s">
        <v>7294</v>
      </c>
      <c r="C7624" s="10" t="s">
        <v>7295</v>
      </c>
      <c r="D7624" s="10" t="s">
        <v>7309</v>
      </c>
      <c r="E7624" s="10" t="str">
        <f>"644020240512201845170790"</f>
        <v>644020240512201845170790</v>
      </c>
      <c r="F7624" s="9"/>
    </row>
    <row r="7625" s="2" customFormat="1" ht="30" customHeight="1" spans="1:6">
      <c r="A7625" s="9">
        <v>7622</v>
      </c>
      <c r="B7625" s="10" t="s">
        <v>7294</v>
      </c>
      <c r="C7625" s="10" t="s">
        <v>7295</v>
      </c>
      <c r="D7625" s="10" t="s">
        <v>7310</v>
      </c>
      <c r="E7625" s="10" t="str">
        <f>"644020240512172242170187"</f>
        <v>644020240512172242170187</v>
      </c>
      <c r="F7625" s="9"/>
    </row>
    <row r="7626" s="2" customFormat="1" ht="30" customHeight="1" spans="1:6">
      <c r="A7626" s="9">
        <v>7623</v>
      </c>
      <c r="B7626" s="10" t="s">
        <v>7294</v>
      </c>
      <c r="C7626" s="10" t="s">
        <v>7295</v>
      </c>
      <c r="D7626" s="10" t="s">
        <v>7311</v>
      </c>
      <c r="E7626" s="10" t="str">
        <f>"644020240512220905171379"</f>
        <v>644020240512220905171379</v>
      </c>
      <c r="F7626" s="9"/>
    </row>
    <row r="7627" s="2" customFormat="1" ht="30" customHeight="1" spans="1:6">
      <c r="A7627" s="9">
        <v>7624</v>
      </c>
      <c r="B7627" s="10" t="s">
        <v>7294</v>
      </c>
      <c r="C7627" s="10" t="s">
        <v>7295</v>
      </c>
      <c r="D7627" s="10" t="s">
        <v>2216</v>
      </c>
      <c r="E7627" s="10" t="str">
        <f>"644020240512212417171119"</f>
        <v>644020240512212417171119</v>
      </c>
      <c r="F7627" s="9"/>
    </row>
    <row r="7628" s="2" customFormat="1" ht="30" customHeight="1" spans="1:6">
      <c r="A7628" s="9">
        <v>7625</v>
      </c>
      <c r="B7628" s="10" t="s">
        <v>7294</v>
      </c>
      <c r="C7628" s="10" t="s">
        <v>7295</v>
      </c>
      <c r="D7628" s="10" t="s">
        <v>7312</v>
      </c>
      <c r="E7628" s="10" t="str">
        <f>"644020240512092914168238"</f>
        <v>644020240512092914168238</v>
      </c>
      <c r="F7628" s="9"/>
    </row>
    <row r="7629" s="2" customFormat="1" ht="30" customHeight="1" spans="1:6">
      <c r="A7629" s="9">
        <v>7626</v>
      </c>
      <c r="B7629" s="10" t="s">
        <v>7294</v>
      </c>
      <c r="C7629" s="10" t="s">
        <v>7295</v>
      </c>
      <c r="D7629" s="10" t="s">
        <v>7313</v>
      </c>
      <c r="E7629" s="10" t="str">
        <f>"644020240513090119172501"</f>
        <v>644020240513090119172501</v>
      </c>
      <c r="F7629" s="9"/>
    </row>
    <row r="7630" s="2" customFormat="1" ht="30" customHeight="1" spans="1:6">
      <c r="A7630" s="9">
        <v>7627</v>
      </c>
      <c r="B7630" s="10" t="s">
        <v>7294</v>
      </c>
      <c r="C7630" s="10" t="s">
        <v>7295</v>
      </c>
      <c r="D7630" s="10" t="s">
        <v>7314</v>
      </c>
      <c r="E7630" s="10" t="str">
        <f>"644020240512102242168520"</f>
        <v>644020240512102242168520</v>
      </c>
      <c r="F7630" s="9"/>
    </row>
    <row r="7631" s="2" customFormat="1" ht="30" customHeight="1" spans="1:6">
      <c r="A7631" s="9">
        <v>7628</v>
      </c>
      <c r="B7631" s="10" t="s">
        <v>7294</v>
      </c>
      <c r="C7631" s="10" t="s">
        <v>7295</v>
      </c>
      <c r="D7631" s="10" t="s">
        <v>7315</v>
      </c>
      <c r="E7631" s="10" t="str">
        <f>"644020240512103717168606"</f>
        <v>644020240512103717168606</v>
      </c>
      <c r="F7631" s="9"/>
    </row>
    <row r="7632" s="2" customFormat="1" ht="30" customHeight="1" spans="1:6">
      <c r="A7632" s="9">
        <v>7629</v>
      </c>
      <c r="B7632" s="10" t="s">
        <v>7294</v>
      </c>
      <c r="C7632" s="10" t="s">
        <v>7295</v>
      </c>
      <c r="D7632" s="10" t="s">
        <v>7316</v>
      </c>
      <c r="E7632" s="10" t="str">
        <f>"644020240513093532172864"</f>
        <v>644020240513093532172864</v>
      </c>
      <c r="F7632" s="9"/>
    </row>
    <row r="7633" s="2" customFormat="1" ht="30" customHeight="1" spans="1:6">
      <c r="A7633" s="9">
        <v>7630</v>
      </c>
      <c r="B7633" s="10" t="s">
        <v>7294</v>
      </c>
      <c r="C7633" s="10" t="s">
        <v>7295</v>
      </c>
      <c r="D7633" s="10" t="s">
        <v>7317</v>
      </c>
      <c r="E7633" s="10" t="str">
        <f>"644020240513085050172425"</f>
        <v>644020240513085050172425</v>
      </c>
      <c r="F7633" s="9"/>
    </row>
    <row r="7634" s="2" customFormat="1" ht="30" customHeight="1" spans="1:6">
      <c r="A7634" s="9">
        <v>7631</v>
      </c>
      <c r="B7634" s="10" t="s">
        <v>7294</v>
      </c>
      <c r="C7634" s="10" t="s">
        <v>7295</v>
      </c>
      <c r="D7634" s="10" t="s">
        <v>7318</v>
      </c>
      <c r="E7634" s="10" t="str">
        <f>"644020240513073028172145"</f>
        <v>644020240513073028172145</v>
      </c>
      <c r="F7634" s="9"/>
    </row>
    <row r="7635" s="2" customFormat="1" ht="30" customHeight="1" spans="1:6">
      <c r="A7635" s="9">
        <v>7632</v>
      </c>
      <c r="B7635" s="10" t="s">
        <v>7294</v>
      </c>
      <c r="C7635" s="10" t="s">
        <v>7295</v>
      </c>
      <c r="D7635" s="10" t="s">
        <v>7319</v>
      </c>
      <c r="E7635" s="10" t="str">
        <f>"644020240512092819168231"</f>
        <v>644020240512092819168231</v>
      </c>
      <c r="F7635" s="9"/>
    </row>
    <row r="7636" s="2" customFormat="1" ht="30" customHeight="1" spans="1:6">
      <c r="A7636" s="9">
        <v>7633</v>
      </c>
      <c r="B7636" s="10" t="s">
        <v>7294</v>
      </c>
      <c r="C7636" s="10" t="s">
        <v>7295</v>
      </c>
      <c r="D7636" s="10" t="s">
        <v>7320</v>
      </c>
      <c r="E7636" s="10" t="str">
        <f>"644020240513104012173507"</f>
        <v>644020240513104012173507</v>
      </c>
      <c r="F7636" s="9"/>
    </row>
    <row r="7637" s="2" customFormat="1" ht="30" customHeight="1" spans="1:6">
      <c r="A7637" s="9">
        <v>7634</v>
      </c>
      <c r="B7637" s="10" t="s">
        <v>7294</v>
      </c>
      <c r="C7637" s="10" t="s">
        <v>7295</v>
      </c>
      <c r="D7637" s="10" t="s">
        <v>7321</v>
      </c>
      <c r="E7637" s="10" t="str">
        <f>"644020240513102045173315"</f>
        <v>644020240513102045173315</v>
      </c>
      <c r="F7637" s="9"/>
    </row>
    <row r="7638" s="2" customFormat="1" ht="30" customHeight="1" spans="1:6">
      <c r="A7638" s="9">
        <v>7635</v>
      </c>
      <c r="B7638" s="10" t="s">
        <v>7294</v>
      </c>
      <c r="C7638" s="10" t="s">
        <v>7295</v>
      </c>
      <c r="D7638" s="10" t="s">
        <v>7322</v>
      </c>
      <c r="E7638" s="10" t="str">
        <f>"644020240513100335173140"</f>
        <v>644020240513100335173140</v>
      </c>
      <c r="F7638" s="9"/>
    </row>
    <row r="7639" s="2" customFormat="1" ht="30" customHeight="1" spans="1:6">
      <c r="A7639" s="9">
        <v>7636</v>
      </c>
      <c r="B7639" s="10" t="s">
        <v>7294</v>
      </c>
      <c r="C7639" s="10" t="s">
        <v>7295</v>
      </c>
      <c r="D7639" s="10" t="s">
        <v>7323</v>
      </c>
      <c r="E7639" s="10" t="str">
        <f>"644020240513103700173481"</f>
        <v>644020240513103700173481</v>
      </c>
      <c r="F7639" s="9"/>
    </row>
    <row r="7640" s="2" customFormat="1" ht="30" customHeight="1" spans="1:6">
      <c r="A7640" s="9">
        <v>7637</v>
      </c>
      <c r="B7640" s="10" t="s">
        <v>7294</v>
      </c>
      <c r="C7640" s="10" t="s">
        <v>7295</v>
      </c>
      <c r="D7640" s="10" t="s">
        <v>7324</v>
      </c>
      <c r="E7640" s="10" t="str">
        <f>"644020240513104732173581"</f>
        <v>644020240513104732173581</v>
      </c>
      <c r="F7640" s="9"/>
    </row>
    <row r="7641" s="2" customFormat="1" ht="30" customHeight="1" spans="1:6">
      <c r="A7641" s="9">
        <v>7638</v>
      </c>
      <c r="B7641" s="10" t="s">
        <v>7294</v>
      </c>
      <c r="C7641" s="10" t="s">
        <v>7295</v>
      </c>
      <c r="D7641" s="10" t="s">
        <v>7325</v>
      </c>
      <c r="E7641" s="10" t="str">
        <f>"644020240513100434173156"</f>
        <v>644020240513100434173156</v>
      </c>
      <c r="F7641" s="9"/>
    </row>
    <row r="7642" s="2" customFormat="1" ht="30" customHeight="1" spans="1:6">
      <c r="A7642" s="9">
        <v>7639</v>
      </c>
      <c r="B7642" s="10" t="s">
        <v>7294</v>
      </c>
      <c r="C7642" s="10" t="s">
        <v>7295</v>
      </c>
      <c r="D7642" s="10" t="s">
        <v>7326</v>
      </c>
      <c r="E7642" s="10" t="str">
        <f>"644020240512212820171144"</f>
        <v>644020240512212820171144</v>
      </c>
      <c r="F7642" s="9"/>
    </row>
    <row r="7643" s="2" customFormat="1" ht="30" customHeight="1" spans="1:6">
      <c r="A7643" s="9">
        <v>7640</v>
      </c>
      <c r="B7643" s="10" t="s">
        <v>7294</v>
      </c>
      <c r="C7643" s="10" t="s">
        <v>7295</v>
      </c>
      <c r="D7643" s="10" t="s">
        <v>5872</v>
      </c>
      <c r="E7643" s="10" t="str">
        <f>"644020240513102621173374"</f>
        <v>644020240513102621173374</v>
      </c>
      <c r="F7643" s="9"/>
    </row>
    <row r="7644" s="2" customFormat="1" ht="30" customHeight="1" spans="1:6">
      <c r="A7644" s="9">
        <v>7641</v>
      </c>
      <c r="B7644" s="10" t="s">
        <v>7294</v>
      </c>
      <c r="C7644" s="10" t="s">
        <v>7295</v>
      </c>
      <c r="D7644" s="10" t="s">
        <v>7327</v>
      </c>
      <c r="E7644" s="10" t="str">
        <f>"644020240513092645172774"</f>
        <v>644020240513092645172774</v>
      </c>
      <c r="F7644" s="9"/>
    </row>
    <row r="7645" s="2" customFormat="1" ht="30" customHeight="1" spans="1:6">
      <c r="A7645" s="9">
        <v>7642</v>
      </c>
      <c r="B7645" s="10" t="s">
        <v>7294</v>
      </c>
      <c r="C7645" s="10" t="s">
        <v>7295</v>
      </c>
      <c r="D7645" s="10" t="s">
        <v>7328</v>
      </c>
      <c r="E7645" s="10" t="str">
        <f>"644020240513121702174228"</f>
        <v>644020240513121702174228</v>
      </c>
      <c r="F7645" s="9"/>
    </row>
    <row r="7646" s="2" customFormat="1" ht="30" customHeight="1" spans="1:6">
      <c r="A7646" s="9">
        <v>7643</v>
      </c>
      <c r="B7646" s="10" t="s">
        <v>7294</v>
      </c>
      <c r="C7646" s="10" t="s">
        <v>7295</v>
      </c>
      <c r="D7646" s="10" t="s">
        <v>7329</v>
      </c>
      <c r="E7646" s="10" t="str">
        <f>"644020240513132251174631"</f>
        <v>644020240513132251174631</v>
      </c>
      <c r="F7646" s="9"/>
    </row>
    <row r="7647" s="2" customFormat="1" ht="30" customHeight="1" spans="1:6">
      <c r="A7647" s="9">
        <v>7644</v>
      </c>
      <c r="B7647" s="10" t="s">
        <v>7294</v>
      </c>
      <c r="C7647" s="10" t="s">
        <v>7295</v>
      </c>
      <c r="D7647" s="10" t="s">
        <v>7330</v>
      </c>
      <c r="E7647" s="10" t="str">
        <f>"644020240513134439174728"</f>
        <v>644020240513134439174728</v>
      </c>
      <c r="F7647" s="9"/>
    </row>
    <row r="7648" s="2" customFormat="1" ht="30" customHeight="1" spans="1:6">
      <c r="A7648" s="9">
        <v>7645</v>
      </c>
      <c r="B7648" s="10" t="s">
        <v>7294</v>
      </c>
      <c r="C7648" s="10" t="s">
        <v>7295</v>
      </c>
      <c r="D7648" s="10" t="s">
        <v>7331</v>
      </c>
      <c r="E7648" s="10" t="str">
        <f>"644020240513135154174762"</f>
        <v>644020240513135154174762</v>
      </c>
      <c r="F7648" s="9"/>
    </row>
    <row r="7649" s="2" customFormat="1" ht="30" customHeight="1" spans="1:6">
      <c r="A7649" s="9">
        <v>7646</v>
      </c>
      <c r="B7649" s="10" t="s">
        <v>7294</v>
      </c>
      <c r="C7649" s="10" t="s">
        <v>7295</v>
      </c>
      <c r="D7649" s="10" t="s">
        <v>7332</v>
      </c>
      <c r="E7649" s="10" t="str">
        <f>"644020240512185339170489"</f>
        <v>644020240512185339170489</v>
      </c>
      <c r="F7649" s="9"/>
    </row>
    <row r="7650" s="2" customFormat="1" ht="30" customHeight="1" spans="1:6">
      <c r="A7650" s="9">
        <v>7647</v>
      </c>
      <c r="B7650" s="10" t="s">
        <v>7294</v>
      </c>
      <c r="C7650" s="10" t="s">
        <v>7295</v>
      </c>
      <c r="D7650" s="10" t="s">
        <v>7333</v>
      </c>
      <c r="E7650" s="10" t="str">
        <f>"644020240513141700174887"</f>
        <v>644020240513141700174887</v>
      </c>
      <c r="F7650" s="9"/>
    </row>
    <row r="7651" s="2" customFormat="1" ht="30" customHeight="1" spans="1:6">
      <c r="A7651" s="9">
        <v>7648</v>
      </c>
      <c r="B7651" s="10" t="s">
        <v>7294</v>
      </c>
      <c r="C7651" s="10" t="s">
        <v>7295</v>
      </c>
      <c r="D7651" s="10" t="s">
        <v>7334</v>
      </c>
      <c r="E7651" s="10" t="str">
        <f>"644020240513142341174924"</f>
        <v>644020240513142341174924</v>
      </c>
      <c r="F7651" s="9"/>
    </row>
    <row r="7652" s="2" customFormat="1" ht="30" customHeight="1" spans="1:6">
      <c r="A7652" s="9">
        <v>7649</v>
      </c>
      <c r="B7652" s="10" t="s">
        <v>7294</v>
      </c>
      <c r="C7652" s="10" t="s">
        <v>7295</v>
      </c>
      <c r="D7652" s="10" t="s">
        <v>7335</v>
      </c>
      <c r="E7652" s="10" t="str">
        <f>"644020240513092845172791"</f>
        <v>644020240513092845172791</v>
      </c>
      <c r="F7652" s="9"/>
    </row>
    <row r="7653" s="2" customFormat="1" ht="30" customHeight="1" spans="1:6">
      <c r="A7653" s="9">
        <v>7650</v>
      </c>
      <c r="B7653" s="10" t="s">
        <v>7294</v>
      </c>
      <c r="C7653" s="10" t="s">
        <v>7295</v>
      </c>
      <c r="D7653" s="10" t="s">
        <v>4289</v>
      </c>
      <c r="E7653" s="10" t="str">
        <f>"644020240513145617175152"</f>
        <v>644020240513145617175152</v>
      </c>
      <c r="F7653" s="9"/>
    </row>
    <row r="7654" s="2" customFormat="1" ht="30" customHeight="1" spans="1:6">
      <c r="A7654" s="9">
        <v>7651</v>
      </c>
      <c r="B7654" s="10" t="s">
        <v>7294</v>
      </c>
      <c r="C7654" s="10" t="s">
        <v>7295</v>
      </c>
      <c r="D7654" s="10" t="s">
        <v>7336</v>
      </c>
      <c r="E7654" s="10" t="str">
        <f>"644020240513105206173619"</f>
        <v>644020240513105206173619</v>
      </c>
      <c r="F7654" s="9"/>
    </row>
    <row r="7655" s="2" customFormat="1" ht="30" customHeight="1" spans="1:6">
      <c r="A7655" s="9">
        <v>7652</v>
      </c>
      <c r="B7655" s="10" t="s">
        <v>7294</v>
      </c>
      <c r="C7655" s="10" t="s">
        <v>7295</v>
      </c>
      <c r="D7655" s="10" t="s">
        <v>7337</v>
      </c>
      <c r="E7655" s="10" t="str">
        <f>"644020240513162015175893"</f>
        <v>644020240513162015175893</v>
      </c>
      <c r="F7655" s="9"/>
    </row>
    <row r="7656" s="2" customFormat="1" ht="30" customHeight="1" spans="1:6">
      <c r="A7656" s="9">
        <v>7653</v>
      </c>
      <c r="B7656" s="10" t="s">
        <v>7294</v>
      </c>
      <c r="C7656" s="10" t="s">
        <v>7295</v>
      </c>
      <c r="D7656" s="10" t="s">
        <v>7338</v>
      </c>
      <c r="E7656" s="10" t="str">
        <f>"644020240513002153171981"</f>
        <v>644020240513002153171981</v>
      </c>
      <c r="F7656" s="9"/>
    </row>
    <row r="7657" s="2" customFormat="1" ht="30" customHeight="1" spans="1:6">
      <c r="A7657" s="9">
        <v>7654</v>
      </c>
      <c r="B7657" s="10" t="s">
        <v>7294</v>
      </c>
      <c r="C7657" s="10" t="s">
        <v>7295</v>
      </c>
      <c r="D7657" s="10" t="s">
        <v>7339</v>
      </c>
      <c r="E7657" s="10" t="str">
        <f>"644020240513162931175941"</f>
        <v>644020240513162931175941</v>
      </c>
      <c r="F7657" s="9"/>
    </row>
    <row r="7658" s="2" customFormat="1" ht="30" customHeight="1" spans="1:6">
      <c r="A7658" s="9">
        <v>7655</v>
      </c>
      <c r="B7658" s="10" t="s">
        <v>7294</v>
      </c>
      <c r="C7658" s="10" t="s">
        <v>7295</v>
      </c>
      <c r="D7658" s="10" t="s">
        <v>7340</v>
      </c>
      <c r="E7658" s="10" t="str">
        <f>"644020240513154822175655"</f>
        <v>644020240513154822175655</v>
      </c>
      <c r="F7658" s="9"/>
    </row>
    <row r="7659" s="2" customFormat="1" ht="30" customHeight="1" spans="1:6">
      <c r="A7659" s="9">
        <v>7656</v>
      </c>
      <c r="B7659" s="10" t="s">
        <v>7294</v>
      </c>
      <c r="C7659" s="10" t="s">
        <v>7295</v>
      </c>
      <c r="D7659" s="10" t="s">
        <v>7341</v>
      </c>
      <c r="E7659" s="10" t="str">
        <f>"644020240513172502176212"</f>
        <v>644020240513172502176212</v>
      </c>
      <c r="F7659" s="9"/>
    </row>
    <row r="7660" s="2" customFormat="1" ht="30" customHeight="1" spans="1:6">
      <c r="A7660" s="9">
        <v>7657</v>
      </c>
      <c r="B7660" s="10" t="s">
        <v>7294</v>
      </c>
      <c r="C7660" s="10" t="s">
        <v>7295</v>
      </c>
      <c r="D7660" s="10" t="s">
        <v>7342</v>
      </c>
      <c r="E7660" s="10" t="str">
        <f>"644020240513175559176324"</f>
        <v>644020240513175559176324</v>
      </c>
      <c r="F7660" s="9"/>
    </row>
    <row r="7661" s="2" customFormat="1" ht="30" customHeight="1" spans="1:6">
      <c r="A7661" s="9">
        <v>7658</v>
      </c>
      <c r="B7661" s="10" t="s">
        <v>7294</v>
      </c>
      <c r="C7661" s="10" t="s">
        <v>7295</v>
      </c>
      <c r="D7661" s="10" t="s">
        <v>7343</v>
      </c>
      <c r="E7661" s="10" t="str">
        <f>"644020240512110724168760"</f>
        <v>644020240512110724168760</v>
      </c>
      <c r="F7661" s="9"/>
    </row>
    <row r="7662" s="2" customFormat="1" ht="30" customHeight="1" spans="1:6">
      <c r="A7662" s="9">
        <v>7659</v>
      </c>
      <c r="B7662" s="10" t="s">
        <v>7294</v>
      </c>
      <c r="C7662" s="10" t="s">
        <v>7295</v>
      </c>
      <c r="D7662" s="10" t="s">
        <v>7344</v>
      </c>
      <c r="E7662" s="10" t="str">
        <f>"644020240513193144176621"</f>
        <v>644020240513193144176621</v>
      </c>
      <c r="F7662" s="9"/>
    </row>
    <row r="7663" s="2" customFormat="1" ht="30" customHeight="1" spans="1:6">
      <c r="A7663" s="9">
        <v>7660</v>
      </c>
      <c r="B7663" s="10" t="s">
        <v>7294</v>
      </c>
      <c r="C7663" s="10" t="s">
        <v>7295</v>
      </c>
      <c r="D7663" s="10" t="s">
        <v>7345</v>
      </c>
      <c r="E7663" s="10" t="str">
        <f>"644020240513101105173219"</f>
        <v>644020240513101105173219</v>
      </c>
      <c r="F7663" s="9"/>
    </row>
    <row r="7664" s="2" customFormat="1" ht="30" customHeight="1" spans="1:6">
      <c r="A7664" s="9">
        <v>7661</v>
      </c>
      <c r="B7664" s="10" t="s">
        <v>7294</v>
      </c>
      <c r="C7664" s="10" t="s">
        <v>7295</v>
      </c>
      <c r="D7664" s="10" t="s">
        <v>7346</v>
      </c>
      <c r="E7664" s="10" t="str">
        <f>"644020240513210904176995"</f>
        <v>644020240513210904176995</v>
      </c>
      <c r="F7664" s="9"/>
    </row>
    <row r="7665" s="2" customFormat="1" ht="30" customHeight="1" spans="1:6">
      <c r="A7665" s="9">
        <v>7662</v>
      </c>
      <c r="B7665" s="10" t="s">
        <v>7294</v>
      </c>
      <c r="C7665" s="10" t="s">
        <v>7295</v>
      </c>
      <c r="D7665" s="10" t="s">
        <v>7347</v>
      </c>
      <c r="E7665" s="10" t="str">
        <f>"644020240513212239177058"</f>
        <v>644020240513212239177058</v>
      </c>
      <c r="F7665" s="9"/>
    </row>
    <row r="7666" s="2" customFormat="1" ht="30" customHeight="1" spans="1:6">
      <c r="A7666" s="9">
        <v>7663</v>
      </c>
      <c r="B7666" s="10" t="s">
        <v>7294</v>
      </c>
      <c r="C7666" s="10" t="s">
        <v>7295</v>
      </c>
      <c r="D7666" s="10" t="s">
        <v>7348</v>
      </c>
      <c r="E7666" s="10" t="str">
        <f>"644020240513154321175597"</f>
        <v>644020240513154321175597</v>
      </c>
      <c r="F7666" s="9"/>
    </row>
    <row r="7667" s="2" customFormat="1" ht="30" customHeight="1" spans="1:6">
      <c r="A7667" s="9">
        <v>7664</v>
      </c>
      <c r="B7667" s="10" t="s">
        <v>7294</v>
      </c>
      <c r="C7667" s="10" t="s">
        <v>7295</v>
      </c>
      <c r="D7667" s="10" t="s">
        <v>7349</v>
      </c>
      <c r="E7667" s="10" t="str">
        <f>"644020240513081030172218"</f>
        <v>644020240513081030172218</v>
      </c>
      <c r="F7667" s="9"/>
    </row>
    <row r="7668" s="2" customFormat="1" ht="30" customHeight="1" spans="1:6">
      <c r="A7668" s="9">
        <v>7665</v>
      </c>
      <c r="B7668" s="10" t="s">
        <v>7294</v>
      </c>
      <c r="C7668" s="10" t="s">
        <v>7295</v>
      </c>
      <c r="D7668" s="10" t="s">
        <v>7350</v>
      </c>
      <c r="E7668" s="10" t="str">
        <f>"644020240513153415175510"</f>
        <v>644020240513153415175510</v>
      </c>
      <c r="F7668" s="9"/>
    </row>
    <row r="7669" s="2" customFormat="1" ht="30" customHeight="1" spans="1:6">
      <c r="A7669" s="9">
        <v>7666</v>
      </c>
      <c r="B7669" s="10" t="s">
        <v>7294</v>
      </c>
      <c r="C7669" s="10" t="s">
        <v>7295</v>
      </c>
      <c r="D7669" s="10" t="s">
        <v>7351</v>
      </c>
      <c r="E7669" s="10" t="str">
        <f>"644020240513234020177602"</f>
        <v>644020240513234020177602</v>
      </c>
      <c r="F7669" s="9"/>
    </row>
    <row r="7670" s="2" customFormat="1" ht="30" customHeight="1" spans="1:6">
      <c r="A7670" s="9">
        <v>7667</v>
      </c>
      <c r="B7670" s="10" t="s">
        <v>7294</v>
      </c>
      <c r="C7670" s="10" t="s">
        <v>7295</v>
      </c>
      <c r="D7670" s="10" t="s">
        <v>7352</v>
      </c>
      <c r="E7670" s="10" t="str">
        <f>"644020240513235620177629"</f>
        <v>644020240513235620177629</v>
      </c>
      <c r="F7670" s="9"/>
    </row>
    <row r="7671" s="2" customFormat="1" ht="30" customHeight="1" spans="1:6">
      <c r="A7671" s="9">
        <v>7668</v>
      </c>
      <c r="B7671" s="10" t="s">
        <v>7294</v>
      </c>
      <c r="C7671" s="10" t="s">
        <v>7295</v>
      </c>
      <c r="D7671" s="10" t="s">
        <v>7353</v>
      </c>
      <c r="E7671" s="10" t="str">
        <f>"644020240512170914170134"</f>
        <v>644020240512170914170134</v>
      </c>
      <c r="F7671" s="9"/>
    </row>
    <row r="7672" s="2" customFormat="1" ht="30" customHeight="1" spans="1:6">
      <c r="A7672" s="9">
        <v>7669</v>
      </c>
      <c r="B7672" s="10" t="s">
        <v>7294</v>
      </c>
      <c r="C7672" s="10" t="s">
        <v>7295</v>
      </c>
      <c r="D7672" s="10" t="s">
        <v>7354</v>
      </c>
      <c r="E7672" s="10" t="str">
        <f>"644020240513234522177615"</f>
        <v>644020240513234522177615</v>
      </c>
      <c r="F7672" s="9"/>
    </row>
    <row r="7673" s="2" customFormat="1" ht="30" customHeight="1" spans="1:6">
      <c r="A7673" s="9">
        <v>7670</v>
      </c>
      <c r="B7673" s="10" t="s">
        <v>7294</v>
      </c>
      <c r="C7673" s="10" t="s">
        <v>7295</v>
      </c>
      <c r="D7673" s="10" t="s">
        <v>7355</v>
      </c>
      <c r="E7673" s="10" t="str">
        <f>"644020240514080155177803"</f>
        <v>644020240514080155177803</v>
      </c>
      <c r="F7673" s="9"/>
    </row>
    <row r="7674" s="2" customFormat="1" ht="30" customHeight="1" spans="1:6">
      <c r="A7674" s="9">
        <v>7671</v>
      </c>
      <c r="B7674" s="10" t="s">
        <v>7294</v>
      </c>
      <c r="C7674" s="10" t="s">
        <v>7295</v>
      </c>
      <c r="D7674" s="10" t="s">
        <v>7356</v>
      </c>
      <c r="E7674" s="10" t="str">
        <f>"644020240514082921177858"</f>
        <v>644020240514082921177858</v>
      </c>
      <c r="F7674" s="9"/>
    </row>
    <row r="7675" s="2" customFormat="1" ht="30" customHeight="1" spans="1:6">
      <c r="A7675" s="9">
        <v>7672</v>
      </c>
      <c r="B7675" s="10" t="s">
        <v>7294</v>
      </c>
      <c r="C7675" s="10" t="s">
        <v>7295</v>
      </c>
      <c r="D7675" s="10" t="s">
        <v>7357</v>
      </c>
      <c r="E7675" s="10" t="str">
        <f>"644020240514094459178197"</f>
        <v>644020240514094459178197</v>
      </c>
      <c r="F7675" s="9"/>
    </row>
    <row r="7676" s="2" customFormat="1" ht="30" customHeight="1" spans="1:6">
      <c r="A7676" s="9">
        <v>7673</v>
      </c>
      <c r="B7676" s="10" t="s">
        <v>7294</v>
      </c>
      <c r="C7676" s="10" t="s">
        <v>7295</v>
      </c>
      <c r="D7676" s="10" t="s">
        <v>7358</v>
      </c>
      <c r="E7676" s="10" t="str">
        <f>"644020240513155138175700"</f>
        <v>644020240513155138175700</v>
      </c>
      <c r="F7676" s="9"/>
    </row>
    <row r="7677" s="2" customFormat="1" ht="30" customHeight="1" spans="1:6">
      <c r="A7677" s="9">
        <v>7674</v>
      </c>
      <c r="B7677" s="10" t="s">
        <v>7294</v>
      </c>
      <c r="C7677" s="10" t="s">
        <v>7295</v>
      </c>
      <c r="D7677" s="10" t="s">
        <v>4166</v>
      </c>
      <c r="E7677" s="10" t="str">
        <f>"644020240514102230178387"</f>
        <v>644020240514102230178387</v>
      </c>
      <c r="F7677" s="9"/>
    </row>
    <row r="7678" s="2" customFormat="1" ht="30" customHeight="1" spans="1:6">
      <c r="A7678" s="9">
        <v>7675</v>
      </c>
      <c r="B7678" s="10" t="s">
        <v>7294</v>
      </c>
      <c r="C7678" s="10" t="s">
        <v>7295</v>
      </c>
      <c r="D7678" s="10" t="s">
        <v>7359</v>
      </c>
      <c r="E7678" s="10" t="str">
        <f>"644020240514100822178306"</f>
        <v>644020240514100822178306</v>
      </c>
      <c r="F7678" s="9"/>
    </row>
    <row r="7679" s="2" customFormat="1" ht="30" customHeight="1" spans="1:6">
      <c r="A7679" s="9">
        <v>7676</v>
      </c>
      <c r="B7679" s="10" t="s">
        <v>7294</v>
      </c>
      <c r="C7679" s="10" t="s">
        <v>7295</v>
      </c>
      <c r="D7679" s="10" t="s">
        <v>7360</v>
      </c>
      <c r="E7679" s="10" t="str">
        <f>"644020240514103324178451"</f>
        <v>644020240514103324178451</v>
      </c>
      <c r="F7679" s="9"/>
    </row>
    <row r="7680" s="2" customFormat="1" ht="30" customHeight="1" spans="1:6">
      <c r="A7680" s="9">
        <v>7677</v>
      </c>
      <c r="B7680" s="10" t="s">
        <v>7294</v>
      </c>
      <c r="C7680" s="10" t="s">
        <v>7295</v>
      </c>
      <c r="D7680" s="10" t="s">
        <v>7361</v>
      </c>
      <c r="E7680" s="10" t="str">
        <f>"644020240514102627178416"</f>
        <v>644020240514102627178416</v>
      </c>
      <c r="F7680" s="9"/>
    </row>
    <row r="7681" s="2" customFormat="1" ht="30" customHeight="1" spans="1:6">
      <c r="A7681" s="9">
        <v>7678</v>
      </c>
      <c r="B7681" s="10" t="s">
        <v>7294</v>
      </c>
      <c r="C7681" s="10" t="s">
        <v>7295</v>
      </c>
      <c r="D7681" s="10" t="s">
        <v>7362</v>
      </c>
      <c r="E7681" s="10" t="str">
        <f>"644020240513111214173805"</f>
        <v>644020240513111214173805</v>
      </c>
      <c r="F7681" s="9"/>
    </row>
    <row r="7682" s="2" customFormat="1" ht="30" customHeight="1" spans="1:6">
      <c r="A7682" s="9">
        <v>7679</v>
      </c>
      <c r="B7682" s="10" t="s">
        <v>7294</v>
      </c>
      <c r="C7682" s="10" t="s">
        <v>7295</v>
      </c>
      <c r="D7682" s="10" t="s">
        <v>7363</v>
      </c>
      <c r="E7682" s="10" t="str">
        <f>"644020240514104949178558"</f>
        <v>644020240514104949178558</v>
      </c>
      <c r="F7682" s="9"/>
    </row>
    <row r="7683" s="2" customFormat="1" ht="30" customHeight="1" spans="1:6">
      <c r="A7683" s="9">
        <v>7680</v>
      </c>
      <c r="B7683" s="10" t="s">
        <v>7294</v>
      </c>
      <c r="C7683" s="10" t="s">
        <v>7295</v>
      </c>
      <c r="D7683" s="10" t="s">
        <v>7364</v>
      </c>
      <c r="E7683" s="10" t="str">
        <f>"644020240514103756178479"</f>
        <v>644020240514103756178479</v>
      </c>
      <c r="F7683" s="9"/>
    </row>
    <row r="7684" s="2" customFormat="1" ht="30" customHeight="1" spans="1:6">
      <c r="A7684" s="9">
        <v>7681</v>
      </c>
      <c r="B7684" s="10" t="s">
        <v>7294</v>
      </c>
      <c r="C7684" s="10" t="s">
        <v>7295</v>
      </c>
      <c r="D7684" s="10" t="s">
        <v>7365</v>
      </c>
      <c r="E7684" s="10" t="str">
        <f>"644020240514105324178571"</f>
        <v>644020240514105324178571</v>
      </c>
      <c r="F7684" s="9"/>
    </row>
    <row r="7685" s="2" customFormat="1" ht="30" customHeight="1" spans="1:6">
      <c r="A7685" s="9">
        <v>7682</v>
      </c>
      <c r="B7685" s="10" t="s">
        <v>7294</v>
      </c>
      <c r="C7685" s="10" t="s">
        <v>7295</v>
      </c>
      <c r="D7685" s="10" t="s">
        <v>7366</v>
      </c>
      <c r="E7685" s="10" t="str">
        <f>"644020240514092949178108"</f>
        <v>644020240514092949178108</v>
      </c>
      <c r="F7685" s="9"/>
    </row>
    <row r="7686" s="2" customFormat="1" ht="30" customHeight="1" spans="1:6">
      <c r="A7686" s="9">
        <v>7683</v>
      </c>
      <c r="B7686" s="10" t="s">
        <v>7294</v>
      </c>
      <c r="C7686" s="10" t="s">
        <v>7295</v>
      </c>
      <c r="D7686" s="10" t="s">
        <v>7367</v>
      </c>
      <c r="E7686" s="10" t="str">
        <f>"644020240512204308170900"</f>
        <v>644020240512204308170900</v>
      </c>
      <c r="F7686" s="9"/>
    </row>
    <row r="7687" s="2" customFormat="1" ht="30" customHeight="1" spans="1:6">
      <c r="A7687" s="9">
        <v>7684</v>
      </c>
      <c r="B7687" s="10" t="s">
        <v>7294</v>
      </c>
      <c r="C7687" s="10" t="s">
        <v>7295</v>
      </c>
      <c r="D7687" s="10" t="s">
        <v>7368</v>
      </c>
      <c r="E7687" s="10" t="str">
        <f>"644020240514114101178766"</f>
        <v>644020240514114101178766</v>
      </c>
      <c r="F7687" s="9"/>
    </row>
    <row r="7688" s="2" customFormat="1" ht="30" customHeight="1" spans="1:6">
      <c r="A7688" s="9">
        <v>7685</v>
      </c>
      <c r="B7688" s="10" t="s">
        <v>7294</v>
      </c>
      <c r="C7688" s="10" t="s">
        <v>7295</v>
      </c>
      <c r="D7688" s="10" t="s">
        <v>7369</v>
      </c>
      <c r="E7688" s="10" t="str">
        <f>"644020240514080823177812"</f>
        <v>644020240514080823177812</v>
      </c>
      <c r="F7688" s="9"/>
    </row>
    <row r="7689" s="2" customFormat="1" ht="30" customHeight="1" spans="1:6">
      <c r="A7689" s="9">
        <v>7686</v>
      </c>
      <c r="B7689" s="10" t="s">
        <v>7294</v>
      </c>
      <c r="C7689" s="10" t="s">
        <v>7295</v>
      </c>
      <c r="D7689" s="10" t="s">
        <v>6804</v>
      </c>
      <c r="E7689" s="10" t="str">
        <f>"644020240514132005179009"</f>
        <v>644020240514132005179009</v>
      </c>
      <c r="F7689" s="9"/>
    </row>
    <row r="7690" s="2" customFormat="1" ht="30" customHeight="1" spans="1:6">
      <c r="A7690" s="9">
        <v>7687</v>
      </c>
      <c r="B7690" s="10" t="s">
        <v>7294</v>
      </c>
      <c r="C7690" s="10" t="s">
        <v>7295</v>
      </c>
      <c r="D7690" s="10" t="s">
        <v>7370</v>
      </c>
      <c r="E7690" s="10" t="str">
        <f>"644020240514125614178947"</f>
        <v>644020240514125614178947</v>
      </c>
      <c r="F7690" s="9"/>
    </row>
    <row r="7691" s="2" customFormat="1" ht="30" customHeight="1" spans="1:6">
      <c r="A7691" s="9">
        <v>7688</v>
      </c>
      <c r="B7691" s="10" t="s">
        <v>7294</v>
      </c>
      <c r="C7691" s="10" t="s">
        <v>7295</v>
      </c>
      <c r="D7691" s="10" t="s">
        <v>3865</v>
      </c>
      <c r="E7691" s="10" t="str">
        <f>"644020240513165826176085"</f>
        <v>644020240513165826176085</v>
      </c>
      <c r="F7691" s="9"/>
    </row>
    <row r="7692" s="2" customFormat="1" ht="30" customHeight="1" spans="1:6">
      <c r="A7692" s="9">
        <v>7689</v>
      </c>
      <c r="B7692" s="10" t="s">
        <v>7294</v>
      </c>
      <c r="C7692" s="10" t="s">
        <v>7295</v>
      </c>
      <c r="D7692" s="10" t="s">
        <v>7371</v>
      </c>
      <c r="E7692" s="10" t="str">
        <f>"644020240514140810179087"</f>
        <v>644020240514140810179087</v>
      </c>
      <c r="F7692" s="9"/>
    </row>
    <row r="7693" s="2" customFormat="1" ht="30" customHeight="1" spans="1:6">
      <c r="A7693" s="9">
        <v>7690</v>
      </c>
      <c r="B7693" s="10" t="s">
        <v>7294</v>
      </c>
      <c r="C7693" s="10" t="s">
        <v>7295</v>
      </c>
      <c r="D7693" s="10" t="s">
        <v>7372</v>
      </c>
      <c r="E7693" s="10" t="str">
        <f>"644020240514151334179244"</f>
        <v>644020240514151334179244</v>
      </c>
      <c r="F7693" s="9"/>
    </row>
    <row r="7694" s="2" customFormat="1" ht="30" customHeight="1" spans="1:6">
      <c r="A7694" s="9">
        <v>7691</v>
      </c>
      <c r="B7694" s="10" t="s">
        <v>7294</v>
      </c>
      <c r="C7694" s="10" t="s">
        <v>7295</v>
      </c>
      <c r="D7694" s="10" t="s">
        <v>7373</v>
      </c>
      <c r="E7694" s="10" t="str">
        <f>"644020240513103902173495"</f>
        <v>644020240513103902173495</v>
      </c>
      <c r="F7694" s="9"/>
    </row>
    <row r="7695" s="2" customFormat="1" ht="30" customHeight="1" spans="1:6">
      <c r="A7695" s="9">
        <v>7692</v>
      </c>
      <c r="B7695" s="10" t="s">
        <v>7294</v>
      </c>
      <c r="C7695" s="10" t="s">
        <v>7295</v>
      </c>
      <c r="D7695" s="10" t="s">
        <v>7374</v>
      </c>
      <c r="E7695" s="10" t="str">
        <f>"644020240513213821177117"</f>
        <v>644020240513213821177117</v>
      </c>
      <c r="F7695" s="9"/>
    </row>
    <row r="7696" s="2" customFormat="1" ht="30" customHeight="1" spans="1:6">
      <c r="A7696" s="9">
        <v>7693</v>
      </c>
      <c r="B7696" s="10" t="s">
        <v>7294</v>
      </c>
      <c r="C7696" s="10" t="s">
        <v>7295</v>
      </c>
      <c r="D7696" s="10" t="s">
        <v>7375</v>
      </c>
      <c r="E7696" s="10" t="str">
        <f>"644020240513221940177325"</f>
        <v>644020240513221940177325</v>
      </c>
      <c r="F7696" s="9"/>
    </row>
    <row r="7697" s="2" customFormat="1" ht="30" customHeight="1" spans="1:6">
      <c r="A7697" s="9">
        <v>7694</v>
      </c>
      <c r="B7697" s="10" t="s">
        <v>7294</v>
      </c>
      <c r="C7697" s="10" t="s">
        <v>7295</v>
      </c>
      <c r="D7697" s="10" t="s">
        <v>7376</v>
      </c>
      <c r="E7697" s="10" t="str">
        <f>"644020240514160953179425"</f>
        <v>644020240514160953179425</v>
      </c>
      <c r="F7697" s="9"/>
    </row>
    <row r="7698" s="2" customFormat="1" ht="30" customHeight="1" spans="1:6">
      <c r="A7698" s="9">
        <v>7695</v>
      </c>
      <c r="B7698" s="10" t="s">
        <v>7294</v>
      </c>
      <c r="C7698" s="10" t="s">
        <v>7295</v>
      </c>
      <c r="D7698" s="10" t="s">
        <v>7377</v>
      </c>
      <c r="E7698" s="10" t="str">
        <f>"644020240514165231179578"</f>
        <v>644020240514165231179578</v>
      </c>
      <c r="F7698" s="9"/>
    </row>
    <row r="7699" s="2" customFormat="1" ht="30" customHeight="1" spans="1:6">
      <c r="A7699" s="9">
        <v>7696</v>
      </c>
      <c r="B7699" s="10" t="s">
        <v>7294</v>
      </c>
      <c r="C7699" s="10" t="s">
        <v>7295</v>
      </c>
      <c r="D7699" s="10" t="s">
        <v>7378</v>
      </c>
      <c r="E7699" s="10" t="str">
        <f>"644020240514110827178631"</f>
        <v>644020240514110827178631</v>
      </c>
      <c r="F7699" s="9"/>
    </row>
    <row r="7700" s="2" customFormat="1" ht="30" customHeight="1" spans="1:6">
      <c r="A7700" s="9">
        <v>7697</v>
      </c>
      <c r="B7700" s="10" t="s">
        <v>7294</v>
      </c>
      <c r="C7700" s="10" t="s">
        <v>7295</v>
      </c>
      <c r="D7700" s="10" t="s">
        <v>7379</v>
      </c>
      <c r="E7700" s="10" t="str">
        <f>"644020240514165629179598"</f>
        <v>644020240514165629179598</v>
      </c>
      <c r="F7700" s="9"/>
    </row>
    <row r="7701" s="2" customFormat="1" ht="30" customHeight="1" spans="1:6">
      <c r="A7701" s="9">
        <v>7698</v>
      </c>
      <c r="B7701" s="10" t="s">
        <v>7294</v>
      </c>
      <c r="C7701" s="10" t="s">
        <v>7295</v>
      </c>
      <c r="D7701" s="10" t="s">
        <v>7380</v>
      </c>
      <c r="E7701" s="10" t="str">
        <f>"644020240514125453178942"</f>
        <v>644020240514125453178942</v>
      </c>
      <c r="F7701" s="9"/>
    </row>
    <row r="7702" s="2" customFormat="1" ht="30" customHeight="1" spans="1:6">
      <c r="A7702" s="9">
        <v>7699</v>
      </c>
      <c r="B7702" s="10" t="s">
        <v>7294</v>
      </c>
      <c r="C7702" s="10" t="s">
        <v>7295</v>
      </c>
      <c r="D7702" s="10" t="s">
        <v>6826</v>
      </c>
      <c r="E7702" s="10" t="str">
        <f>"644020240514172731179702"</f>
        <v>644020240514172731179702</v>
      </c>
      <c r="F7702" s="9"/>
    </row>
    <row r="7703" s="2" customFormat="1" ht="30" customHeight="1" spans="1:6">
      <c r="A7703" s="9">
        <v>7700</v>
      </c>
      <c r="B7703" s="10" t="s">
        <v>7294</v>
      </c>
      <c r="C7703" s="10" t="s">
        <v>7295</v>
      </c>
      <c r="D7703" s="10" t="s">
        <v>7381</v>
      </c>
      <c r="E7703" s="10" t="str">
        <f>"644020240514180009179780"</f>
        <v>644020240514180009179780</v>
      </c>
      <c r="F7703" s="9"/>
    </row>
    <row r="7704" s="2" customFormat="1" ht="30" customHeight="1" spans="1:6">
      <c r="A7704" s="9">
        <v>7701</v>
      </c>
      <c r="B7704" s="10" t="s">
        <v>7294</v>
      </c>
      <c r="C7704" s="10" t="s">
        <v>7295</v>
      </c>
      <c r="D7704" s="10" t="s">
        <v>7382</v>
      </c>
      <c r="E7704" s="10" t="str">
        <f>"644020240514181505179805"</f>
        <v>644020240514181505179805</v>
      </c>
      <c r="F7704" s="9"/>
    </row>
    <row r="7705" s="2" customFormat="1" ht="30" customHeight="1" spans="1:6">
      <c r="A7705" s="9">
        <v>7702</v>
      </c>
      <c r="B7705" s="10" t="s">
        <v>7294</v>
      </c>
      <c r="C7705" s="10" t="s">
        <v>7295</v>
      </c>
      <c r="D7705" s="10" t="s">
        <v>7383</v>
      </c>
      <c r="E7705" s="10" t="str">
        <f>"644020240514190635179901"</f>
        <v>644020240514190635179901</v>
      </c>
      <c r="F7705" s="9"/>
    </row>
    <row r="7706" s="2" customFormat="1" ht="30" customHeight="1" spans="1:6">
      <c r="A7706" s="9">
        <v>7703</v>
      </c>
      <c r="B7706" s="10" t="s">
        <v>7294</v>
      </c>
      <c r="C7706" s="10" t="s">
        <v>7295</v>
      </c>
      <c r="D7706" s="10" t="s">
        <v>7384</v>
      </c>
      <c r="E7706" s="10" t="str">
        <f>"644020240514191233179911"</f>
        <v>644020240514191233179911</v>
      </c>
      <c r="F7706" s="9"/>
    </row>
    <row r="7707" s="2" customFormat="1" ht="30" customHeight="1" spans="1:6">
      <c r="A7707" s="9">
        <v>7704</v>
      </c>
      <c r="B7707" s="10" t="s">
        <v>7294</v>
      </c>
      <c r="C7707" s="10" t="s">
        <v>7295</v>
      </c>
      <c r="D7707" s="10" t="s">
        <v>7385</v>
      </c>
      <c r="E7707" s="10" t="str">
        <f>"644020240514185027179870"</f>
        <v>644020240514185027179870</v>
      </c>
      <c r="F7707" s="9"/>
    </row>
    <row r="7708" s="2" customFormat="1" ht="30" customHeight="1" spans="1:6">
      <c r="A7708" s="9">
        <v>7705</v>
      </c>
      <c r="B7708" s="10" t="s">
        <v>7294</v>
      </c>
      <c r="C7708" s="10" t="s">
        <v>7295</v>
      </c>
      <c r="D7708" s="10" t="s">
        <v>7386</v>
      </c>
      <c r="E7708" s="10" t="str">
        <f>"644020240513161134175855"</f>
        <v>644020240513161134175855</v>
      </c>
      <c r="F7708" s="9"/>
    </row>
    <row r="7709" s="2" customFormat="1" ht="30" customHeight="1" spans="1:6">
      <c r="A7709" s="9">
        <v>7706</v>
      </c>
      <c r="B7709" s="10" t="s">
        <v>7294</v>
      </c>
      <c r="C7709" s="10" t="s">
        <v>7295</v>
      </c>
      <c r="D7709" s="10" t="s">
        <v>7387</v>
      </c>
      <c r="E7709" s="10" t="str">
        <f>"644020240514200442179983"</f>
        <v>644020240514200442179983</v>
      </c>
      <c r="F7709" s="9"/>
    </row>
    <row r="7710" s="2" customFormat="1" ht="30" customHeight="1" spans="1:6">
      <c r="A7710" s="9">
        <v>7707</v>
      </c>
      <c r="B7710" s="10" t="s">
        <v>7294</v>
      </c>
      <c r="C7710" s="10" t="s">
        <v>7295</v>
      </c>
      <c r="D7710" s="10" t="s">
        <v>7388</v>
      </c>
      <c r="E7710" s="10" t="str">
        <f>"644020240514095242178236"</f>
        <v>644020240514095242178236</v>
      </c>
      <c r="F7710" s="9"/>
    </row>
    <row r="7711" s="2" customFormat="1" ht="30" customHeight="1" spans="1:6">
      <c r="A7711" s="9">
        <v>7708</v>
      </c>
      <c r="B7711" s="10" t="s">
        <v>7294</v>
      </c>
      <c r="C7711" s="10" t="s">
        <v>7295</v>
      </c>
      <c r="D7711" s="10" t="s">
        <v>7389</v>
      </c>
      <c r="E7711" s="10" t="str">
        <f>"644020240513171917176181"</f>
        <v>644020240513171917176181</v>
      </c>
      <c r="F7711" s="9"/>
    </row>
    <row r="7712" s="2" customFormat="1" ht="30" customHeight="1" spans="1:6">
      <c r="A7712" s="9">
        <v>7709</v>
      </c>
      <c r="B7712" s="10" t="s">
        <v>7294</v>
      </c>
      <c r="C7712" s="10" t="s">
        <v>7295</v>
      </c>
      <c r="D7712" s="10" t="s">
        <v>7390</v>
      </c>
      <c r="E7712" s="10" t="str">
        <f>"644020240514204920180070"</f>
        <v>644020240514204920180070</v>
      </c>
      <c r="F7712" s="9"/>
    </row>
    <row r="7713" s="2" customFormat="1" ht="30" customHeight="1" spans="1:6">
      <c r="A7713" s="9">
        <v>7710</v>
      </c>
      <c r="B7713" s="10" t="s">
        <v>7294</v>
      </c>
      <c r="C7713" s="10" t="s">
        <v>7295</v>
      </c>
      <c r="D7713" s="10" t="s">
        <v>7391</v>
      </c>
      <c r="E7713" s="10" t="str">
        <f>"644020240514164724179556"</f>
        <v>644020240514164724179556</v>
      </c>
      <c r="F7713" s="9"/>
    </row>
    <row r="7714" s="2" customFormat="1" ht="30" customHeight="1" spans="1:6">
      <c r="A7714" s="9">
        <v>7711</v>
      </c>
      <c r="B7714" s="10" t="s">
        <v>7294</v>
      </c>
      <c r="C7714" s="10" t="s">
        <v>7295</v>
      </c>
      <c r="D7714" s="10" t="s">
        <v>7392</v>
      </c>
      <c r="E7714" s="10" t="str">
        <f>"644020240513221224177287"</f>
        <v>644020240513221224177287</v>
      </c>
      <c r="F7714" s="9"/>
    </row>
    <row r="7715" s="2" customFormat="1" ht="30" customHeight="1" spans="1:6">
      <c r="A7715" s="9">
        <v>7712</v>
      </c>
      <c r="B7715" s="10" t="s">
        <v>7294</v>
      </c>
      <c r="C7715" s="10" t="s">
        <v>7295</v>
      </c>
      <c r="D7715" s="10" t="s">
        <v>7393</v>
      </c>
      <c r="E7715" s="10" t="str">
        <f>"644020240514220318180308"</f>
        <v>644020240514220318180308</v>
      </c>
      <c r="F7715" s="9"/>
    </row>
    <row r="7716" s="2" customFormat="1" ht="30" customHeight="1" spans="1:6">
      <c r="A7716" s="9">
        <v>7713</v>
      </c>
      <c r="B7716" s="10" t="s">
        <v>7294</v>
      </c>
      <c r="C7716" s="10" t="s">
        <v>7295</v>
      </c>
      <c r="D7716" s="10" t="s">
        <v>7394</v>
      </c>
      <c r="E7716" s="10" t="str">
        <f>"644020240514125822178950"</f>
        <v>644020240514125822178950</v>
      </c>
      <c r="F7716" s="9"/>
    </row>
    <row r="7717" s="2" customFormat="1" ht="30" customHeight="1" spans="1:6">
      <c r="A7717" s="9">
        <v>7714</v>
      </c>
      <c r="B7717" s="10" t="s">
        <v>7294</v>
      </c>
      <c r="C7717" s="10" t="s">
        <v>7295</v>
      </c>
      <c r="D7717" s="10" t="s">
        <v>7395</v>
      </c>
      <c r="E7717" s="10" t="str">
        <f>"644020240514221601180340"</f>
        <v>644020240514221601180340</v>
      </c>
      <c r="F7717" s="9"/>
    </row>
    <row r="7718" s="2" customFormat="1" ht="30" customHeight="1" spans="1:6">
      <c r="A7718" s="9">
        <v>7715</v>
      </c>
      <c r="B7718" s="10" t="s">
        <v>7294</v>
      </c>
      <c r="C7718" s="10" t="s">
        <v>7295</v>
      </c>
      <c r="D7718" s="10" t="s">
        <v>7396</v>
      </c>
      <c r="E7718" s="10" t="str">
        <f>"644020240514232407180516"</f>
        <v>644020240514232407180516</v>
      </c>
      <c r="F7718" s="9"/>
    </row>
    <row r="7719" s="2" customFormat="1" ht="30" customHeight="1" spans="1:6">
      <c r="A7719" s="9">
        <v>7716</v>
      </c>
      <c r="B7719" s="10" t="s">
        <v>7294</v>
      </c>
      <c r="C7719" s="10" t="s">
        <v>7295</v>
      </c>
      <c r="D7719" s="10" t="s">
        <v>7397</v>
      </c>
      <c r="E7719" s="10" t="str">
        <f>"644020240512230923171727"</f>
        <v>644020240512230923171727</v>
      </c>
      <c r="F7719" s="9"/>
    </row>
    <row r="7720" s="2" customFormat="1" ht="30" customHeight="1" spans="1:6">
      <c r="A7720" s="9">
        <v>7717</v>
      </c>
      <c r="B7720" s="10" t="s">
        <v>7294</v>
      </c>
      <c r="C7720" s="10" t="s">
        <v>7295</v>
      </c>
      <c r="D7720" s="10" t="s">
        <v>7398</v>
      </c>
      <c r="E7720" s="10" t="str">
        <f>"644020240514165228179577"</f>
        <v>644020240514165228179577</v>
      </c>
      <c r="F7720" s="9"/>
    </row>
    <row r="7721" s="2" customFormat="1" ht="30" customHeight="1" spans="1:6">
      <c r="A7721" s="9">
        <v>7718</v>
      </c>
      <c r="B7721" s="10" t="s">
        <v>7294</v>
      </c>
      <c r="C7721" s="10" t="s">
        <v>7295</v>
      </c>
      <c r="D7721" s="10" t="s">
        <v>7399</v>
      </c>
      <c r="E7721" s="10" t="str">
        <f>"644020240515074320180656"</f>
        <v>644020240515074320180656</v>
      </c>
      <c r="F7721" s="9"/>
    </row>
    <row r="7722" s="2" customFormat="1" ht="30" customHeight="1" spans="1:6">
      <c r="A7722" s="9">
        <v>7719</v>
      </c>
      <c r="B7722" s="10" t="s">
        <v>7294</v>
      </c>
      <c r="C7722" s="10" t="s">
        <v>7295</v>
      </c>
      <c r="D7722" s="10" t="s">
        <v>7400</v>
      </c>
      <c r="E7722" s="10" t="str">
        <f>"644020240515090115180765"</f>
        <v>644020240515090115180765</v>
      </c>
      <c r="F7722" s="9"/>
    </row>
    <row r="7723" s="2" customFormat="1" ht="30" customHeight="1" spans="1:6">
      <c r="A7723" s="9">
        <v>7720</v>
      </c>
      <c r="B7723" s="10" t="s">
        <v>7294</v>
      </c>
      <c r="C7723" s="10" t="s">
        <v>7295</v>
      </c>
      <c r="D7723" s="10" t="s">
        <v>7401</v>
      </c>
      <c r="E7723" s="10" t="str">
        <f>"644020240514154902179362"</f>
        <v>644020240514154902179362</v>
      </c>
      <c r="F7723" s="9"/>
    </row>
    <row r="7724" s="2" customFormat="1" ht="30" customHeight="1" spans="1:6">
      <c r="A7724" s="9">
        <v>7721</v>
      </c>
      <c r="B7724" s="10" t="s">
        <v>7294</v>
      </c>
      <c r="C7724" s="10" t="s">
        <v>7295</v>
      </c>
      <c r="D7724" s="10" t="s">
        <v>7402</v>
      </c>
      <c r="E7724" s="10" t="str">
        <f>"644020240515094241180891"</f>
        <v>644020240515094241180891</v>
      </c>
      <c r="F7724" s="9"/>
    </row>
    <row r="7725" s="2" customFormat="1" ht="30" customHeight="1" spans="1:6">
      <c r="A7725" s="9">
        <v>7722</v>
      </c>
      <c r="B7725" s="10" t="s">
        <v>7294</v>
      </c>
      <c r="C7725" s="10" t="s">
        <v>7295</v>
      </c>
      <c r="D7725" s="10" t="s">
        <v>7403</v>
      </c>
      <c r="E7725" s="10" t="str">
        <f>"644020240515095614180940"</f>
        <v>644020240515095614180940</v>
      </c>
      <c r="F7725" s="9"/>
    </row>
    <row r="7726" s="2" customFormat="1" ht="30" customHeight="1" spans="1:6">
      <c r="A7726" s="9">
        <v>7723</v>
      </c>
      <c r="B7726" s="10" t="s">
        <v>7294</v>
      </c>
      <c r="C7726" s="10" t="s">
        <v>7295</v>
      </c>
      <c r="D7726" s="10" t="s">
        <v>7404</v>
      </c>
      <c r="E7726" s="10" t="str">
        <f>"644020240515104152181083"</f>
        <v>644020240515104152181083</v>
      </c>
      <c r="F7726" s="9"/>
    </row>
    <row r="7727" s="2" customFormat="1" ht="30" customHeight="1" spans="1:6">
      <c r="A7727" s="9">
        <v>7724</v>
      </c>
      <c r="B7727" s="10" t="s">
        <v>7294</v>
      </c>
      <c r="C7727" s="10" t="s">
        <v>7295</v>
      </c>
      <c r="D7727" s="10" t="s">
        <v>7405</v>
      </c>
      <c r="E7727" s="10" t="str">
        <f>"644020240515104749181105"</f>
        <v>644020240515104749181105</v>
      </c>
      <c r="F7727" s="9"/>
    </row>
    <row r="7728" s="2" customFormat="1" ht="30" customHeight="1" spans="1:6">
      <c r="A7728" s="9">
        <v>7725</v>
      </c>
      <c r="B7728" s="10" t="s">
        <v>7294</v>
      </c>
      <c r="C7728" s="10" t="s">
        <v>7295</v>
      </c>
      <c r="D7728" s="10" t="s">
        <v>7406</v>
      </c>
      <c r="E7728" s="10" t="str">
        <f>"644020240514075502177801"</f>
        <v>644020240514075502177801</v>
      </c>
      <c r="F7728" s="9"/>
    </row>
    <row r="7729" s="2" customFormat="1" ht="30" customHeight="1" spans="1:6">
      <c r="A7729" s="9">
        <v>7726</v>
      </c>
      <c r="B7729" s="10" t="s">
        <v>7294</v>
      </c>
      <c r="C7729" s="10" t="s">
        <v>7295</v>
      </c>
      <c r="D7729" s="10" t="s">
        <v>7407</v>
      </c>
      <c r="E7729" s="10" t="str">
        <f>"644020240513083145172304"</f>
        <v>644020240513083145172304</v>
      </c>
      <c r="F7729" s="9"/>
    </row>
    <row r="7730" s="2" customFormat="1" ht="30" customHeight="1" spans="1:6">
      <c r="A7730" s="9">
        <v>7727</v>
      </c>
      <c r="B7730" s="10" t="s">
        <v>7294</v>
      </c>
      <c r="C7730" s="10" t="s">
        <v>7295</v>
      </c>
      <c r="D7730" s="10" t="s">
        <v>7408</v>
      </c>
      <c r="E7730" s="10" t="str">
        <f>"644020240513155830175769"</f>
        <v>644020240513155830175769</v>
      </c>
      <c r="F7730" s="9"/>
    </row>
    <row r="7731" s="2" customFormat="1" ht="30" customHeight="1" spans="1:6">
      <c r="A7731" s="9">
        <v>7728</v>
      </c>
      <c r="B7731" s="10" t="s">
        <v>7294</v>
      </c>
      <c r="C7731" s="10" t="s">
        <v>7295</v>
      </c>
      <c r="D7731" s="10" t="s">
        <v>7409</v>
      </c>
      <c r="E7731" s="10" t="str">
        <f>"644020240515150104181617"</f>
        <v>644020240515150104181617</v>
      </c>
      <c r="F7731" s="9"/>
    </row>
    <row r="7732" s="2" customFormat="1" ht="30" customHeight="1" spans="1:6">
      <c r="A7732" s="9">
        <v>7729</v>
      </c>
      <c r="B7732" s="10" t="s">
        <v>7294</v>
      </c>
      <c r="C7732" s="10" t="s">
        <v>7295</v>
      </c>
      <c r="D7732" s="10" t="s">
        <v>7410</v>
      </c>
      <c r="E7732" s="10" t="str">
        <f>"644020240513150934175269"</f>
        <v>644020240513150934175269</v>
      </c>
      <c r="F7732" s="9"/>
    </row>
    <row r="7733" s="2" customFormat="1" ht="30" customHeight="1" spans="1:6">
      <c r="A7733" s="9">
        <v>7730</v>
      </c>
      <c r="B7733" s="10" t="s">
        <v>7294</v>
      </c>
      <c r="C7733" s="10" t="s">
        <v>7295</v>
      </c>
      <c r="D7733" s="10" t="s">
        <v>7411</v>
      </c>
      <c r="E7733" s="10" t="str">
        <f>"644020240515152615181685"</f>
        <v>644020240515152615181685</v>
      </c>
      <c r="F7733" s="9"/>
    </row>
    <row r="7734" s="2" customFormat="1" ht="30" customHeight="1" spans="1:6">
      <c r="A7734" s="9">
        <v>7731</v>
      </c>
      <c r="B7734" s="10" t="s">
        <v>7294</v>
      </c>
      <c r="C7734" s="10" t="s">
        <v>7295</v>
      </c>
      <c r="D7734" s="10" t="s">
        <v>7412</v>
      </c>
      <c r="E7734" s="10" t="str">
        <f>"644020240515154258181730"</f>
        <v>644020240515154258181730</v>
      </c>
      <c r="F7734" s="9"/>
    </row>
    <row r="7735" s="2" customFormat="1" ht="30" customHeight="1" spans="1:6">
      <c r="A7735" s="9">
        <v>7732</v>
      </c>
      <c r="B7735" s="10" t="s">
        <v>7294</v>
      </c>
      <c r="C7735" s="10" t="s">
        <v>7295</v>
      </c>
      <c r="D7735" s="10" t="s">
        <v>7413</v>
      </c>
      <c r="E7735" s="10" t="str">
        <f>"644020240515152655181689"</f>
        <v>644020240515152655181689</v>
      </c>
      <c r="F7735" s="9"/>
    </row>
    <row r="7736" s="2" customFormat="1" ht="30" customHeight="1" spans="1:6">
      <c r="A7736" s="9">
        <v>7733</v>
      </c>
      <c r="B7736" s="10" t="s">
        <v>7294</v>
      </c>
      <c r="C7736" s="10" t="s">
        <v>7295</v>
      </c>
      <c r="D7736" s="10" t="s">
        <v>7414</v>
      </c>
      <c r="E7736" s="10" t="str">
        <f>"644020240513134449174731"</f>
        <v>644020240513134449174731</v>
      </c>
      <c r="F7736" s="9"/>
    </row>
    <row r="7737" s="2" customFormat="1" ht="30" customHeight="1" spans="1:6">
      <c r="A7737" s="9">
        <v>7734</v>
      </c>
      <c r="B7737" s="10" t="s">
        <v>7294</v>
      </c>
      <c r="C7737" s="10" t="s">
        <v>7295</v>
      </c>
      <c r="D7737" s="10" t="s">
        <v>7415</v>
      </c>
      <c r="E7737" s="10" t="str">
        <f>"644020240514163958179535"</f>
        <v>644020240514163958179535</v>
      </c>
      <c r="F7737" s="9"/>
    </row>
    <row r="7738" s="2" customFormat="1" ht="30" customHeight="1" spans="1:6">
      <c r="A7738" s="9">
        <v>7735</v>
      </c>
      <c r="B7738" s="10" t="s">
        <v>7294</v>
      </c>
      <c r="C7738" s="10" t="s">
        <v>7295</v>
      </c>
      <c r="D7738" s="10" t="s">
        <v>7416</v>
      </c>
      <c r="E7738" s="10" t="str">
        <f>"644020240515155206181756"</f>
        <v>644020240515155206181756</v>
      </c>
      <c r="F7738" s="9"/>
    </row>
    <row r="7739" s="2" customFormat="1" ht="30" customHeight="1" spans="1:6">
      <c r="A7739" s="9">
        <v>7736</v>
      </c>
      <c r="B7739" s="10" t="s">
        <v>7294</v>
      </c>
      <c r="C7739" s="10" t="s">
        <v>7295</v>
      </c>
      <c r="D7739" s="10" t="s">
        <v>7417</v>
      </c>
      <c r="E7739" s="10" t="str">
        <f>"644020240513073530172153"</f>
        <v>644020240513073530172153</v>
      </c>
      <c r="F7739" s="9"/>
    </row>
    <row r="7740" s="2" customFormat="1" ht="30" customHeight="1" spans="1:6">
      <c r="A7740" s="9">
        <v>7737</v>
      </c>
      <c r="B7740" s="10" t="s">
        <v>7294</v>
      </c>
      <c r="C7740" s="10" t="s">
        <v>7295</v>
      </c>
      <c r="D7740" s="10" t="s">
        <v>7418</v>
      </c>
      <c r="E7740" s="10" t="str">
        <f>"644020240515155145181754"</f>
        <v>644020240515155145181754</v>
      </c>
      <c r="F7740" s="9"/>
    </row>
    <row r="7741" s="2" customFormat="1" ht="30" customHeight="1" spans="1:6">
      <c r="A7741" s="9">
        <v>7738</v>
      </c>
      <c r="B7741" s="10" t="s">
        <v>7294</v>
      </c>
      <c r="C7741" s="10" t="s">
        <v>7295</v>
      </c>
      <c r="D7741" s="10" t="s">
        <v>7419</v>
      </c>
      <c r="E7741" s="10" t="str">
        <f>"644020240515160222181787"</f>
        <v>644020240515160222181787</v>
      </c>
      <c r="F7741" s="9"/>
    </row>
    <row r="7742" s="2" customFormat="1" ht="30" customHeight="1" spans="1:6">
      <c r="A7742" s="9">
        <v>7739</v>
      </c>
      <c r="B7742" s="10" t="s">
        <v>7294</v>
      </c>
      <c r="C7742" s="10" t="s">
        <v>7295</v>
      </c>
      <c r="D7742" s="10" t="s">
        <v>7420</v>
      </c>
      <c r="E7742" s="10" t="str">
        <f>"644020240515170000181954"</f>
        <v>644020240515170000181954</v>
      </c>
      <c r="F7742" s="9"/>
    </row>
    <row r="7743" s="2" customFormat="1" ht="30" customHeight="1" spans="1:6">
      <c r="A7743" s="9">
        <v>7740</v>
      </c>
      <c r="B7743" s="10" t="s">
        <v>7294</v>
      </c>
      <c r="C7743" s="10" t="s">
        <v>7295</v>
      </c>
      <c r="D7743" s="10" t="s">
        <v>7421</v>
      </c>
      <c r="E7743" s="10" t="str">
        <f>"644020240515172243181998"</f>
        <v>644020240515172243181998</v>
      </c>
      <c r="F7743" s="9"/>
    </row>
    <row r="7744" s="2" customFormat="1" ht="30" customHeight="1" spans="1:6">
      <c r="A7744" s="9">
        <v>7741</v>
      </c>
      <c r="B7744" s="10" t="s">
        <v>7294</v>
      </c>
      <c r="C7744" s="10" t="s">
        <v>7295</v>
      </c>
      <c r="D7744" s="10" t="s">
        <v>7422</v>
      </c>
      <c r="E7744" s="10" t="str">
        <f>"644020240514081201177821"</f>
        <v>644020240514081201177821</v>
      </c>
      <c r="F7744" s="9"/>
    </row>
    <row r="7745" s="2" customFormat="1" ht="30" customHeight="1" spans="1:6">
      <c r="A7745" s="9">
        <v>7742</v>
      </c>
      <c r="B7745" s="10" t="s">
        <v>7294</v>
      </c>
      <c r="C7745" s="10" t="s">
        <v>7295</v>
      </c>
      <c r="D7745" s="10" t="s">
        <v>7423</v>
      </c>
      <c r="E7745" s="10" t="str">
        <f>"644020240515190243182136"</f>
        <v>644020240515190243182136</v>
      </c>
      <c r="F7745" s="9"/>
    </row>
    <row r="7746" s="2" customFormat="1" ht="30" customHeight="1" spans="1:6">
      <c r="A7746" s="9">
        <v>7743</v>
      </c>
      <c r="B7746" s="10" t="s">
        <v>7294</v>
      </c>
      <c r="C7746" s="10" t="s">
        <v>7295</v>
      </c>
      <c r="D7746" s="10" t="s">
        <v>7424</v>
      </c>
      <c r="E7746" s="10" t="str">
        <f>"644020240515192709182171"</f>
        <v>644020240515192709182171</v>
      </c>
      <c r="F7746" s="9"/>
    </row>
    <row r="7747" s="2" customFormat="1" ht="30" customHeight="1" spans="1:6">
      <c r="A7747" s="9">
        <v>7744</v>
      </c>
      <c r="B7747" s="10" t="s">
        <v>7294</v>
      </c>
      <c r="C7747" s="10" t="s">
        <v>7295</v>
      </c>
      <c r="D7747" s="10" t="s">
        <v>4002</v>
      </c>
      <c r="E7747" s="10" t="str">
        <f>"644020240515080623180670"</f>
        <v>644020240515080623180670</v>
      </c>
      <c r="F7747" s="9"/>
    </row>
    <row r="7748" s="2" customFormat="1" ht="30" customHeight="1" spans="1:6">
      <c r="A7748" s="9">
        <v>7745</v>
      </c>
      <c r="B7748" s="10" t="s">
        <v>7294</v>
      </c>
      <c r="C7748" s="10" t="s">
        <v>7295</v>
      </c>
      <c r="D7748" s="10" t="s">
        <v>7425</v>
      </c>
      <c r="E7748" s="10" t="str">
        <f>"644020240515201552182238"</f>
        <v>644020240515201552182238</v>
      </c>
      <c r="F7748" s="9"/>
    </row>
    <row r="7749" s="2" customFormat="1" ht="30" customHeight="1" spans="1:6">
      <c r="A7749" s="9">
        <v>7746</v>
      </c>
      <c r="B7749" s="10" t="s">
        <v>7294</v>
      </c>
      <c r="C7749" s="10" t="s">
        <v>7295</v>
      </c>
      <c r="D7749" s="10" t="s">
        <v>7426</v>
      </c>
      <c r="E7749" s="10" t="str">
        <f>"644020240514145656179200"</f>
        <v>644020240514145656179200</v>
      </c>
      <c r="F7749" s="9"/>
    </row>
    <row r="7750" s="2" customFormat="1" ht="30" customHeight="1" spans="1:6">
      <c r="A7750" s="9">
        <v>7747</v>
      </c>
      <c r="B7750" s="10" t="s">
        <v>7294</v>
      </c>
      <c r="C7750" s="10" t="s">
        <v>7295</v>
      </c>
      <c r="D7750" s="10" t="s">
        <v>7427</v>
      </c>
      <c r="E7750" s="10" t="str">
        <f>"644020240515202458182258"</f>
        <v>644020240515202458182258</v>
      </c>
      <c r="F7750" s="9"/>
    </row>
    <row r="7751" s="2" customFormat="1" ht="30" customHeight="1" spans="1:6">
      <c r="A7751" s="9">
        <v>7748</v>
      </c>
      <c r="B7751" s="10" t="s">
        <v>7294</v>
      </c>
      <c r="C7751" s="10" t="s">
        <v>7295</v>
      </c>
      <c r="D7751" s="10" t="s">
        <v>7428</v>
      </c>
      <c r="E7751" s="10" t="str">
        <f>"644020240515200907182230"</f>
        <v>644020240515200907182230</v>
      </c>
      <c r="F7751" s="9"/>
    </row>
    <row r="7752" s="2" customFormat="1" ht="30" customHeight="1" spans="1:6">
      <c r="A7752" s="9">
        <v>7749</v>
      </c>
      <c r="B7752" s="10" t="s">
        <v>7294</v>
      </c>
      <c r="C7752" s="10" t="s">
        <v>7295</v>
      </c>
      <c r="D7752" s="10" t="s">
        <v>7429</v>
      </c>
      <c r="E7752" s="10" t="str">
        <f>"644020240515220314182338"</f>
        <v>644020240515220314182338</v>
      </c>
      <c r="F7752" s="9"/>
    </row>
    <row r="7753" s="2" customFormat="1" ht="30" customHeight="1" spans="1:6">
      <c r="A7753" s="9">
        <v>7750</v>
      </c>
      <c r="B7753" s="10" t="s">
        <v>7294</v>
      </c>
      <c r="C7753" s="10" t="s">
        <v>7295</v>
      </c>
      <c r="D7753" s="10" t="s">
        <v>7430</v>
      </c>
      <c r="E7753" s="10" t="str">
        <f>"644020240515180921182073"</f>
        <v>644020240515180921182073</v>
      </c>
      <c r="F7753" s="9"/>
    </row>
    <row r="7754" s="2" customFormat="1" ht="30" customHeight="1" spans="1:6">
      <c r="A7754" s="9">
        <v>7751</v>
      </c>
      <c r="B7754" s="10" t="s">
        <v>7294</v>
      </c>
      <c r="C7754" s="10" t="s">
        <v>7295</v>
      </c>
      <c r="D7754" s="10" t="s">
        <v>7431</v>
      </c>
      <c r="E7754" s="10" t="str">
        <f>"644020240515220214182329"</f>
        <v>644020240515220214182329</v>
      </c>
      <c r="F7754" s="9"/>
    </row>
    <row r="7755" s="2" customFormat="1" ht="30" customHeight="1" spans="1:6">
      <c r="A7755" s="9">
        <v>7752</v>
      </c>
      <c r="B7755" s="10" t="s">
        <v>7294</v>
      </c>
      <c r="C7755" s="10" t="s">
        <v>7295</v>
      </c>
      <c r="D7755" s="10" t="s">
        <v>7432</v>
      </c>
      <c r="E7755" s="10" t="str">
        <f>"644020240514001930177667"</f>
        <v>644020240514001930177667</v>
      </c>
      <c r="F7755" s="9"/>
    </row>
    <row r="7756" s="2" customFormat="1" ht="30" customHeight="1" spans="1:6">
      <c r="A7756" s="9">
        <v>7753</v>
      </c>
      <c r="B7756" s="10" t="s">
        <v>7294</v>
      </c>
      <c r="C7756" s="10" t="s">
        <v>7295</v>
      </c>
      <c r="D7756" s="10" t="s">
        <v>7433</v>
      </c>
      <c r="E7756" s="10" t="str">
        <f>"644020240515225534182498"</f>
        <v>644020240515225534182498</v>
      </c>
      <c r="F7756" s="9"/>
    </row>
    <row r="7757" s="2" customFormat="1" ht="30" customHeight="1" spans="1:6">
      <c r="A7757" s="9">
        <v>7754</v>
      </c>
      <c r="B7757" s="10" t="s">
        <v>7294</v>
      </c>
      <c r="C7757" s="10" t="s">
        <v>7295</v>
      </c>
      <c r="D7757" s="10" t="s">
        <v>7434</v>
      </c>
      <c r="E7757" s="10" t="str">
        <f>"644020240516074737182726"</f>
        <v>644020240516074737182726</v>
      </c>
      <c r="F7757" s="9"/>
    </row>
    <row r="7758" s="2" customFormat="1" ht="30" customHeight="1" spans="1:6">
      <c r="A7758" s="9">
        <v>7755</v>
      </c>
      <c r="B7758" s="10" t="s">
        <v>7294</v>
      </c>
      <c r="C7758" s="10" t="s">
        <v>7295</v>
      </c>
      <c r="D7758" s="10" t="s">
        <v>7435</v>
      </c>
      <c r="E7758" s="10" t="str">
        <f>"644020240515104803181107"</f>
        <v>644020240515104803181107</v>
      </c>
      <c r="F7758" s="9"/>
    </row>
    <row r="7759" s="2" customFormat="1" ht="30" customHeight="1" spans="1:6">
      <c r="A7759" s="9">
        <v>7756</v>
      </c>
      <c r="B7759" s="10" t="s">
        <v>7294</v>
      </c>
      <c r="C7759" s="10" t="s">
        <v>7295</v>
      </c>
      <c r="D7759" s="10" t="s">
        <v>7436</v>
      </c>
      <c r="E7759" s="10" t="str">
        <f>"644020240516082300182760"</f>
        <v>644020240516082300182760</v>
      </c>
      <c r="F7759" s="9"/>
    </row>
    <row r="7760" s="2" customFormat="1" ht="30" customHeight="1" spans="1:6">
      <c r="A7760" s="9">
        <v>7757</v>
      </c>
      <c r="B7760" s="10" t="s">
        <v>7294</v>
      </c>
      <c r="C7760" s="10" t="s">
        <v>7295</v>
      </c>
      <c r="D7760" s="10" t="s">
        <v>7437</v>
      </c>
      <c r="E7760" s="10" t="str">
        <f>"644020240515170150181961"</f>
        <v>644020240515170150181961</v>
      </c>
      <c r="F7760" s="9"/>
    </row>
    <row r="7761" s="2" customFormat="1" ht="30" customHeight="1" spans="1:6">
      <c r="A7761" s="9">
        <v>7758</v>
      </c>
      <c r="B7761" s="10" t="s">
        <v>7294</v>
      </c>
      <c r="C7761" s="10" t="s">
        <v>7295</v>
      </c>
      <c r="D7761" s="10" t="s">
        <v>7438</v>
      </c>
      <c r="E7761" s="10" t="str">
        <f>"644020240516095840182951"</f>
        <v>644020240516095840182951</v>
      </c>
      <c r="F7761" s="9"/>
    </row>
    <row r="7762" s="2" customFormat="1" ht="30" customHeight="1" spans="1:6">
      <c r="A7762" s="9">
        <v>7759</v>
      </c>
      <c r="B7762" s="10" t="s">
        <v>7294</v>
      </c>
      <c r="C7762" s="10" t="s">
        <v>7295</v>
      </c>
      <c r="D7762" s="10" t="s">
        <v>7439</v>
      </c>
      <c r="E7762" s="10" t="str">
        <f>"644020240512090108168096"</f>
        <v>644020240512090108168096</v>
      </c>
      <c r="F7762" s="9"/>
    </row>
    <row r="7763" s="2" customFormat="1" ht="30" customHeight="1" spans="1:6">
      <c r="A7763" s="9">
        <v>7760</v>
      </c>
      <c r="B7763" s="10" t="s">
        <v>7294</v>
      </c>
      <c r="C7763" s="10" t="s">
        <v>7295</v>
      </c>
      <c r="D7763" s="10" t="s">
        <v>7440</v>
      </c>
      <c r="E7763" s="10" t="str">
        <f>"644020240516080306182738"</f>
        <v>644020240516080306182738</v>
      </c>
      <c r="F7763" s="9"/>
    </row>
    <row r="7764" s="2" customFormat="1" ht="30" customHeight="1" spans="1:6">
      <c r="A7764" s="9">
        <v>7761</v>
      </c>
      <c r="B7764" s="10" t="s">
        <v>7294</v>
      </c>
      <c r="C7764" s="10" t="s">
        <v>7295</v>
      </c>
      <c r="D7764" s="10" t="s">
        <v>7441</v>
      </c>
      <c r="E7764" s="10" t="str">
        <f>"644020240512090505168111"</f>
        <v>644020240512090505168111</v>
      </c>
      <c r="F7764" s="9"/>
    </row>
    <row r="7765" s="2" customFormat="1" ht="30" customHeight="1" spans="1:6">
      <c r="A7765" s="9">
        <v>7762</v>
      </c>
      <c r="B7765" s="10" t="s">
        <v>7294</v>
      </c>
      <c r="C7765" s="10" t="s">
        <v>7295</v>
      </c>
      <c r="D7765" s="10" t="s">
        <v>7442</v>
      </c>
      <c r="E7765" s="10" t="str">
        <f>"644020240516102457183018"</f>
        <v>644020240516102457183018</v>
      </c>
      <c r="F7765" s="9"/>
    </row>
    <row r="7766" s="2" customFormat="1" ht="30" customHeight="1" spans="1:6">
      <c r="A7766" s="9">
        <v>7763</v>
      </c>
      <c r="B7766" s="10" t="s">
        <v>7294</v>
      </c>
      <c r="C7766" s="10" t="s">
        <v>7295</v>
      </c>
      <c r="D7766" s="10" t="s">
        <v>7443</v>
      </c>
      <c r="E7766" s="10" t="str">
        <f>"644020240516104723183067"</f>
        <v>644020240516104723183067</v>
      </c>
      <c r="F7766" s="9"/>
    </row>
    <row r="7767" s="2" customFormat="1" ht="30" customHeight="1" spans="1:6">
      <c r="A7767" s="9">
        <v>7764</v>
      </c>
      <c r="B7767" s="10" t="s">
        <v>7294</v>
      </c>
      <c r="C7767" s="10" t="s">
        <v>7295</v>
      </c>
      <c r="D7767" s="10" t="s">
        <v>6870</v>
      </c>
      <c r="E7767" s="10" t="str">
        <f>"644020240515100648180960"</f>
        <v>644020240515100648180960</v>
      </c>
      <c r="F7767" s="9"/>
    </row>
    <row r="7768" s="2" customFormat="1" ht="30" customHeight="1" spans="1:6">
      <c r="A7768" s="9">
        <v>7765</v>
      </c>
      <c r="B7768" s="10" t="s">
        <v>7294</v>
      </c>
      <c r="C7768" s="10" t="s">
        <v>7295</v>
      </c>
      <c r="D7768" s="10" t="s">
        <v>7444</v>
      </c>
      <c r="E7768" s="10" t="str">
        <f>"644020240516104713183066"</f>
        <v>644020240516104713183066</v>
      </c>
      <c r="F7768" s="9"/>
    </row>
    <row r="7769" s="2" customFormat="1" ht="30" customHeight="1" spans="1:6">
      <c r="A7769" s="9">
        <v>7766</v>
      </c>
      <c r="B7769" s="10" t="s">
        <v>7294</v>
      </c>
      <c r="C7769" s="10" t="s">
        <v>7295</v>
      </c>
      <c r="D7769" s="10" t="s">
        <v>7445</v>
      </c>
      <c r="E7769" s="10" t="str">
        <f>"644020240516113528183182"</f>
        <v>644020240516113528183182</v>
      </c>
      <c r="F7769" s="9"/>
    </row>
    <row r="7770" s="2" customFormat="1" ht="30" customHeight="1" spans="1:6">
      <c r="A7770" s="9">
        <v>7767</v>
      </c>
      <c r="B7770" s="10" t="s">
        <v>7294</v>
      </c>
      <c r="C7770" s="10" t="s">
        <v>7295</v>
      </c>
      <c r="D7770" s="10" t="s">
        <v>7446</v>
      </c>
      <c r="E7770" s="10" t="str">
        <f>"644020240516120131183231"</f>
        <v>644020240516120131183231</v>
      </c>
      <c r="F7770" s="9"/>
    </row>
    <row r="7771" s="2" customFormat="1" ht="30" customHeight="1" spans="1:6">
      <c r="A7771" s="9">
        <v>7768</v>
      </c>
      <c r="B7771" s="10" t="s">
        <v>7294</v>
      </c>
      <c r="C7771" s="10" t="s">
        <v>7295</v>
      </c>
      <c r="D7771" s="10" t="s">
        <v>7447</v>
      </c>
      <c r="E7771" s="10" t="str">
        <f>"644020240515233356182579"</f>
        <v>644020240515233356182579</v>
      </c>
      <c r="F7771" s="9"/>
    </row>
    <row r="7772" s="2" customFormat="1" ht="30" customHeight="1" spans="1:6">
      <c r="A7772" s="9">
        <v>7769</v>
      </c>
      <c r="B7772" s="10" t="s">
        <v>7294</v>
      </c>
      <c r="C7772" s="10" t="s">
        <v>7295</v>
      </c>
      <c r="D7772" s="10" t="s">
        <v>7448</v>
      </c>
      <c r="E7772" s="10" t="str">
        <f>"644020240516124018183297"</f>
        <v>644020240516124018183297</v>
      </c>
      <c r="F7772" s="9"/>
    </row>
    <row r="7773" s="2" customFormat="1" ht="30" customHeight="1" spans="1:6">
      <c r="A7773" s="9">
        <v>7770</v>
      </c>
      <c r="B7773" s="10" t="s">
        <v>7294</v>
      </c>
      <c r="C7773" s="10" t="s">
        <v>7295</v>
      </c>
      <c r="D7773" s="10" t="s">
        <v>7449</v>
      </c>
      <c r="E7773" s="10" t="str">
        <f>"644020240516122618183276"</f>
        <v>644020240516122618183276</v>
      </c>
      <c r="F7773" s="9"/>
    </row>
    <row r="7774" s="2" customFormat="1" ht="30" customHeight="1" spans="1:6">
      <c r="A7774" s="9">
        <v>7771</v>
      </c>
      <c r="B7774" s="10" t="s">
        <v>7294</v>
      </c>
      <c r="C7774" s="10" t="s">
        <v>7295</v>
      </c>
      <c r="D7774" s="10" t="s">
        <v>3455</v>
      </c>
      <c r="E7774" s="10" t="str">
        <f>"644020240516105023183078"</f>
        <v>644020240516105023183078</v>
      </c>
      <c r="F7774" s="9"/>
    </row>
    <row r="7775" s="2" customFormat="1" ht="30" customHeight="1" spans="1:6">
      <c r="A7775" s="9">
        <v>7772</v>
      </c>
      <c r="B7775" s="10" t="s">
        <v>7294</v>
      </c>
      <c r="C7775" s="10" t="s">
        <v>7295</v>
      </c>
      <c r="D7775" s="10" t="s">
        <v>7450</v>
      </c>
      <c r="E7775" s="10" t="str">
        <f>"644020240516125443183321"</f>
        <v>644020240516125443183321</v>
      </c>
      <c r="F7775" s="9"/>
    </row>
    <row r="7776" s="2" customFormat="1" ht="30" customHeight="1" spans="1:6">
      <c r="A7776" s="9">
        <v>7773</v>
      </c>
      <c r="B7776" s="10" t="s">
        <v>7294</v>
      </c>
      <c r="C7776" s="10" t="s">
        <v>7295</v>
      </c>
      <c r="D7776" s="10" t="s">
        <v>7451</v>
      </c>
      <c r="E7776" s="10" t="str">
        <f>"644020240512195816170705"</f>
        <v>644020240512195816170705</v>
      </c>
      <c r="F7776" s="9"/>
    </row>
    <row r="7777" s="2" customFormat="1" ht="30" customHeight="1" spans="1:6">
      <c r="A7777" s="9">
        <v>7774</v>
      </c>
      <c r="B7777" s="10" t="s">
        <v>7294</v>
      </c>
      <c r="C7777" s="10" t="s">
        <v>7295</v>
      </c>
      <c r="D7777" s="10" t="s">
        <v>7452</v>
      </c>
      <c r="E7777" s="10" t="str">
        <f>"644020240516142317183418"</f>
        <v>644020240516142317183418</v>
      </c>
      <c r="F7777" s="9"/>
    </row>
    <row r="7778" s="2" customFormat="1" ht="30" customHeight="1" spans="1:6">
      <c r="A7778" s="9">
        <v>7775</v>
      </c>
      <c r="B7778" s="10" t="s">
        <v>7294</v>
      </c>
      <c r="C7778" s="10" t="s">
        <v>7295</v>
      </c>
      <c r="D7778" s="10" t="s">
        <v>7453</v>
      </c>
      <c r="E7778" s="10" t="str">
        <f>"644020240515001832180590"</f>
        <v>644020240515001832180590</v>
      </c>
      <c r="F7778" s="9"/>
    </row>
    <row r="7779" s="2" customFormat="1" ht="30" customHeight="1" spans="1:6">
      <c r="A7779" s="9">
        <v>7776</v>
      </c>
      <c r="B7779" s="10" t="s">
        <v>7294</v>
      </c>
      <c r="C7779" s="10" t="s">
        <v>7295</v>
      </c>
      <c r="D7779" s="10" t="s">
        <v>7454</v>
      </c>
      <c r="E7779" s="10" t="str">
        <f>"644020240515174533182028"</f>
        <v>644020240515174533182028</v>
      </c>
      <c r="F7779" s="9"/>
    </row>
    <row r="7780" s="2" customFormat="1" ht="30" customHeight="1" spans="1:6">
      <c r="A7780" s="9">
        <v>7777</v>
      </c>
      <c r="B7780" s="10" t="s">
        <v>7294</v>
      </c>
      <c r="C7780" s="10" t="s">
        <v>7295</v>
      </c>
      <c r="D7780" s="10" t="s">
        <v>7455</v>
      </c>
      <c r="E7780" s="10" t="str">
        <f>"644020240516155746183609"</f>
        <v>644020240516155746183609</v>
      </c>
      <c r="F7780" s="9"/>
    </row>
    <row r="7781" s="2" customFormat="1" ht="30" customHeight="1" spans="1:6">
      <c r="A7781" s="9">
        <v>7778</v>
      </c>
      <c r="B7781" s="10" t="s">
        <v>7294</v>
      </c>
      <c r="C7781" s="10" t="s">
        <v>7295</v>
      </c>
      <c r="D7781" s="10" t="s">
        <v>7456</v>
      </c>
      <c r="E7781" s="10" t="str">
        <f>"644020240513080014172196"</f>
        <v>644020240513080014172196</v>
      </c>
      <c r="F7781" s="9"/>
    </row>
    <row r="7782" s="2" customFormat="1" ht="30" customHeight="1" spans="1:6">
      <c r="A7782" s="9">
        <v>7779</v>
      </c>
      <c r="B7782" s="10" t="s">
        <v>7294</v>
      </c>
      <c r="C7782" s="10" t="s">
        <v>7295</v>
      </c>
      <c r="D7782" s="10" t="s">
        <v>7457</v>
      </c>
      <c r="E7782" s="10" t="str">
        <f>"644020240514183523179838"</f>
        <v>644020240514183523179838</v>
      </c>
      <c r="F7782" s="9"/>
    </row>
    <row r="7783" s="2" customFormat="1" ht="30" customHeight="1" spans="1:6">
      <c r="A7783" s="9">
        <v>7780</v>
      </c>
      <c r="B7783" s="10" t="s">
        <v>7294</v>
      </c>
      <c r="C7783" s="10" t="s">
        <v>7295</v>
      </c>
      <c r="D7783" s="10" t="s">
        <v>7458</v>
      </c>
      <c r="E7783" s="10" t="str">
        <f>"644020240516162046183667"</f>
        <v>644020240516162046183667</v>
      </c>
      <c r="F7783" s="9"/>
    </row>
    <row r="7784" s="2" customFormat="1" ht="30" customHeight="1" spans="1:6">
      <c r="A7784" s="9">
        <v>7781</v>
      </c>
      <c r="B7784" s="10" t="s">
        <v>7294</v>
      </c>
      <c r="C7784" s="10" t="s">
        <v>7295</v>
      </c>
      <c r="D7784" s="10" t="s">
        <v>7459</v>
      </c>
      <c r="E7784" s="10" t="str">
        <f>"644020240515192453182167"</f>
        <v>644020240515192453182167</v>
      </c>
      <c r="F7784" s="9"/>
    </row>
    <row r="7785" s="2" customFormat="1" ht="30" customHeight="1" spans="1:6">
      <c r="A7785" s="9">
        <v>7782</v>
      </c>
      <c r="B7785" s="10" t="s">
        <v>7294</v>
      </c>
      <c r="C7785" s="10" t="s">
        <v>7295</v>
      </c>
      <c r="D7785" s="10" t="s">
        <v>7460</v>
      </c>
      <c r="E7785" s="10" t="str">
        <f>"644020240516181939183915"</f>
        <v>644020240516181939183915</v>
      </c>
      <c r="F7785" s="9"/>
    </row>
    <row r="7786" s="2" customFormat="1" ht="30" customHeight="1" spans="1:6">
      <c r="A7786" s="9">
        <v>7783</v>
      </c>
      <c r="B7786" s="10" t="s">
        <v>7294</v>
      </c>
      <c r="C7786" s="10" t="s">
        <v>7295</v>
      </c>
      <c r="D7786" s="10" t="s">
        <v>7461</v>
      </c>
      <c r="E7786" s="10" t="str">
        <f>"644020240512095906168383"</f>
        <v>644020240512095906168383</v>
      </c>
      <c r="F7786" s="9"/>
    </row>
    <row r="7787" s="2" customFormat="1" ht="30" customHeight="1" spans="1:6">
      <c r="A7787" s="9">
        <v>7784</v>
      </c>
      <c r="B7787" s="10" t="s">
        <v>7294</v>
      </c>
      <c r="C7787" s="10" t="s">
        <v>7295</v>
      </c>
      <c r="D7787" s="10" t="s">
        <v>7462</v>
      </c>
      <c r="E7787" s="10" t="str">
        <f>"644020240516191003183989"</f>
        <v>644020240516191003183989</v>
      </c>
      <c r="F7787" s="9"/>
    </row>
    <row r="7788" s="2" customFormat="1" ht="30" customHeight="1" spans="1:6">
      <c r="A7788" s="9">
        <v>7785</v>
      </c>
      <c r="B7788" s="10" t="s">
        <v>7294</v>
      </c>
      <c r="C7788" s="10" t="s">
        <v>7295</v>
      </c>
      <c r="D7788" s="10" t="s">
        <v>7463</v>
      </c>
      <c r="E7788" s="10" t="str">
        <f>"644020240516105654183096"</f>
        <v>644020240516105654183096</v>
      </c>
      <c r="F7788" s="9"/>
    </row>
    <row r="7789" s="2" customFormat="1" ht="30" customHeight="1" spans="1:6">
      <c r="A7789" s="9">
        <v>7786</v>
      </c>
      <c r="B7789" s="10" t="s">
        <v>7294</v>
      </c>
      <c r="C7789" s="10" t="s">
        <v>7295</v>
      </c>
      <c r="D7789" s="10" t="s">
        <v>7464</v>
      </c>
      <c r="E7789" s="10" t="str">
        <f>"644020240516202713184043"</f>
        <v>644020240516202713184043</v>
      </c>
      <c r="F7789" s="9"/>
    </row>
    <row r="7790" s="2" customFormat="1" ht="30" customHeight="1" spans="1:6">
      <c r="A7790" s="9">
        <v>7787</v>
      </c>
      <c r="B7790" s="10" t="s">
        <v>7294</v>
      </c>
      <c r="C7790" s="10" t="s">
        <v>7295</v>
      </c>
      <c r="D7790" s="10" t="s">
        <v>7465</v>
      </c>
      <c r="E7790" s="10" t="str">
        <f>"644020240516170022183770"</f>
        <v>644020240516170022183770</v>
      </c>
      <c r="F7790" s="9"/>
    </row>
    <row r="7791" s="2" customFormat="1" ht="30" customHeight="1" spans="1:6">
      <c r="A7791" s="9">
        <v>7788</v>
      </c>
      <c r="B7791" s="10" t="s">
        <v>7294</v>
      </c>
      <c r="C7791" s="10" t="s">
        <v>7295</v>
      </c>
      <c r="D7791" s="10" t="s">
        <v>7466</v>
      </c>
      <c r="E7791" s="10" t="str">
        <f>"644020240516215213184195"</f>
        <v>644020240516215213184195</v>
      </c>
      <c r="F7791" s="9"/>
    </row>
    <row r="7792" s="2" customFormat="1" ht="30" customHeight="1" spans="1:6">
      <c r="A7792" s="9">
        <v>7789</v>
      </c>
      <c r="B7792" s="10" t="s">
        <v>7294</v>
      </c>
      <c r="C7792" s="10" t="s">
        <v>7295</v>
      </c>
      <c r="D7792" s="10" t="s">
        <v>7467</v>
      </c>
      <c r="E7792" s="10" t="str">
        <f>"644020240516214052184166"</f>
        <v>644020240516214052184166</v>
      </c>
      <c r="F7792" s="9"/>
    </row>
    <row r="7793" s="2" customFormat="1" ht="30" customHeight="1" spans="1:6">
      <c r="A7793" s="9">
        <v>7790</v>
      </c>
      <c r="B7793" s="10" t="s">
        <v>7294</v>
      </c>
      <c r="C7793" s="10" t="s">
        <v>7295</v>
      </c>
      <c r="D7793" s="10" t="s">
        <v>7468</v>
      </c>
      <c r="E7793" s="10" t="str">
        <f>"644020240516221604184256"</f>
        <v>644020240516221604184256</v>
      </c>
      <c r="F7793" s="9"/>
    </row>
    <row r="7794" s="2" customFormat="1" ht="30" customHeight="1" spans="1:6">
      <c r="A7794" s="9">
        <v>7791</v>
      </c>
      <c r="B7794" s="10" t="s">
        <v>7294</v>
      </c>
      <c r="C7794" s="10" t="s">
        <v>7295</v>
      </c>
      <c r="D7794" s="10" t="s">
        <v>7469</v>
      </c>
      <c r="E7794" s="10" t="str">
        <f>"644020240516225346184344"</f>
        <v>644020240516225346184344</v>
      </c>
      <c r="F7794" s="9"/>
    </row>
    <row r="7795" s="2" customFormat="1" ht="30" customHeight="1" spans="1:6">
      <c r="A7795" s="9">
        <v>7792</v>
      </c>
      <c r="B7795" s="10" t="s">
        <v>7294</v>
      </c>
      <c r="C7795" s="10" t="s">
        <v>7295</v>
      </c>
      <c r="D7795" s="10" t="s">
        <v>7470</v>
      </c>
      <c r="E7795" s="10" t="str">
        <f>"644020240515174259182023"</f>
        <v>644020240515174259182023</v>
      </c>
      <c r="F7795" s="9"/>
    </row>
    <row r="7796" s="2" customFormat="1" ht="30" customHeight="1" spans="1:6">
      <c r="A7796" s="9">
        <v>7793</v>
      </c>
      <c r="B7796" s="10" t="s">
        <v>7294</v>
      </c>
      <c r="C7796" s="10" t="s">
        <v>7295</v>
      </c>
      <c r="D7796" s="10" t="s">
        <v>7471</v>
      </c>
      <c r="E7796" s="10" t="str">
        <f>"644020240516235838184457"</f>
        <v>644020240516235838184457</v>
      </c>
      <c r="F7796" s="9"/>
    </row>
    <row r="7797" s="2" customFormat="1" ht="30" customHeight="1" spans="1:6">
      <c r="A7797" s="9">
        <v>7794</v>
      </c>
      <c r="B7797" s="10" t="s">
        <v>7294</v>
      </c>
      <c r="C7797" s="10" t="s">
        <v>7295</v>
      </c>
      <c r="D7797" s="10" t="s">
        <v>7472</v>
      </c>
      <c r="E7797" s="10" t="str">
        <f>"644020240517004408184507"</f>
        <v>644020240517004408184507</v>
      </c>
      <c r="F7797" s="9"/>
    </row>
    <row r="7798" s="2" customFormat="1" ht="30" customHeight="1" spans="1:6">
      <c r="A7798" s="9">
        <v>7795</v>
      </c>
      <c r="B7798" s="10" t="s">
        <v>7294</v>
      </c>
      <c r="C7798" s="10" t="s">
        <v>7295</v>
      </c>
      <c r="D7798" s="10" t="s">
        <v>7473</v>
      </c>
      <c r="E7798" s="10" t="str">
        <f>"644020240516014400182693"</f>
        <v>644020240516014400182693</v>
      </c>
      <c r="F7798" s="9"/>
    </row>
    <row r="7799" s="2" customFormat="1" ht="30" customHeight="1" spans="1:6">
      <c r="A7799" s="9">
        <v>7796</v>
      </c>
      <c r="B7799" s="10" t="s">
        <v>7294</v>
      </c>
      <c r="C7799" s="10" t="s">
        <v>7295</v>
      </c>
      <c r="D7799" s="10" t="s">
        <v>7474</v>
      </c>
      <c r="E7799" s="10" t="str">
        <f>"644020240516172212183818"</f>
        <v>644020240516172212183818</v>
      </c>
      <c r="F7799" s="9"/>
    </row>
    <row r="7800" s="2" customFormat="1" ht="30" customHeight="1" spans="1:6">
      <c r="A7800" s="9">
        <v>7797</v>
      </c>
      <c r="B7800" s="10" t="s">
        <v>7294</v>
      </c>
      <c r="C7800" s="10" t="s">
        <v>7295</v>
      </c>
      <c r="D7800" s="10" t="s">
        <v>7475</v>
      </c>
      <c r="E7800" s="10" t="str">
        <f>"644020240517091715184719"</f>
        <v>644020240517091715184719</v>
      </c>
      <c r="F7800" s="9"/>
    </row>
    <row r="7801" s="2" customFormat="1" ht="30" customHeight="1" spans="1:6">
      <c r="A7801" s="9">
        <v>7798</v>
      </c>
      <c r="B7801" s="10" t="s">
        <v>7294</v>
      </c>
      <c r="C7801" s="10" t="s">
        <v>7295</v>
      </c>
      <c r="D7801" s="10" t="s">
        <v>7476</v>
      </c>
      <c r="E7801" s="10" t="str">
        <f>"644020240517085939184683"</f>
        <v>644020240517085939184683</v>
      </c>
      <c r="F7801" s="9"/>
    </row>
    <row r="7802" s="2" customFormat="1" ht="30" customHeight="1" spans="1:6">
      <c r="A7802" s="9">
        <v>7799</v>
      </c>
      <c r="B7802" s="10" t="s">
        <v>7294</v>
      </c>
      <c r="C7802" s="10" t="s">
        <v>7295</v>
      </c>
      <c r="D7802" s="10" t="s">
        <v>7477</v>
      </c>
      <c r="E7802" s="10" t="str">
        <f>"644020240516152700183547"</f>
        <v>644020240516152700183547</v>
      </c>
      <c r="F7802" s="9"/>
    </row>
    <row r="7803" s="2" customFormat="1" ht="30" customHeight="1" spans="1:6">
      <c r="A7803" s="9">
        <v>7800</v>
      </c>
      <c r="B7803" s="10" t="s">
        <v>7294</v>
      </c>
      <c r="C7803" s="10" t="s">
        <v>7295</v>
      </c>
      <c r="D7803" s="10" t="s">
        <v>7478</v>
      </c>
      <c r="E7803" s="10" t="str">
        <f>"644020240517100106184814"</f>
        <v>644020240517100106184814</v>
      </c>
      <c r="F7803" s="9"/>
    </row>
    <row r="7804" s="2" customFormat="1" ht="30" customHeight="1" spans="1:6">
      <c r="A7804" s="9">
        <v>7801</v>
      </c>
      <c r="B7804" s="10" t="s">
        <v>7294</v>
      </c>
      <c r="C7804" s="10" t="s">
        <v>7295</v>
      </c>
      <c r="D7804" s="10" t="s">
        <v>7479</v>
      </c>
      <c r="E7804" s="10" t="str">
        <f>"644020240517101657184854"</f>
        <v>644020240517101657184854</v>
      </c>
      <c r="F7804" s="9"/>
    </row>
    <row r="7805" s="2" customFormat="1" ht="30" customHeight="1" spans="1:6">
      <c r="A7805" s="9">
        <v>7802</v>
      </c>
      <c r="B7805" s="10" t="s">
        <v>7294</v>
      </c>
      <c r="C7805" s="10" t="s">
        <v>7295</v>
      </c>
      <c r="D7805" s="10" t="s">
        <v>7480</v>
      </c>
      <c r="E7805" s="10" t="str">
        <f>"644020240517111207184976"</f>
        <v>644020240517111207184976</v>
      </c>
      <c r="F7805" s="9"/>
    </row>
    <row r="7806" s="2" customFormat="1" ht="30" customHeight="1" spans="1:6">
      <c r="A7806" s="9">
        <v>7803</v>
      </c>
      <c r="B7806" s="10" t="s">
        <v>7294</v>
      </c>
      <c r="C7806" s="10" t="s">
        <v>7295</v>
      </c>
      <c r="D7806" s="10" t="s">
        <v>7481</v>
      </c>
      <c r="E7806" s="10" t="str">
        <f>"644020240517103752184898"</f>
        <v>644020240517103752184898</v>
      </c>
      <c r="F7806" s="9"/>
    </row>
    <row r="7807" s="2" customFormat="1" ht="30" customHeight="1" spans="1:6">
      <c r="A7807" s="9">
        <v>7804</v>
      </c>
      <c r="B7807" s="10" t="s">
        <v>7294</v>
      </c>
      <c r="C7807" s="10" t="s">
        <v>7295</v>
      </c>
      <c r="D7807" s="10" t="s">
        <v>7482</v>
      </c>
      <c r="E7807" s="10" t="str">
        <f>"644020240513202031176794"</f>
        <v>644020240513202031176794</v>
      </c>
      <c r="F7807" s="9"/>
    </row>
    <row r="7808" s="2" customFormat="1" ht="30" customHeight="1" spans="1:6">
      <c r="A7808" s="9">
        <v>7805</v>
      </c>
      <c r="B7808" s="10" t="s">
        <v>7294</v>
      </c>
      <c r="C7808" s="10" t="s">
        <v>7295</v>
      </c>
      <c r="D7808" s="10" t="s">
        <v>7483</v>
      </c>
      <c r="E7808" s="10" t="str">
        <f>"644020240517102308184869"</f>
        <v>644020240517102308184869</v>
      </c>
      <c r="F7808" s="9"/>
    </row>
    <row r="7809" s="2" customFormat="1" ht="30" customHeight="1" spans="1:6">
      <c r="A7809" s="9">
        <v>7806</v>
      </c>
      <c r="B7809" s="10" t="s">
        <v>7294</v>
      </c>
      <c r="C7809" s="10" t="s">
        <v>7295</v>
      </c>
      <c r="D7809" s="10" t="s">
        <v>7484</v>
      </c>
      <c r="E7809" s="10" t="str">
        <f>"644020240517113710185037"</f>
        <v>644020240517113710185037</v>
      </c>
      <c r="F7809" s="9"/>
    </row>
    <row r="7810" s="2" customFormat="1" ht="30" customHeight="1" spans="1:6">
      <c r="A7810" s="9">
        <v>7807</v>
      </c>
      <c r="B7810" s="10" t="s">
        <v>7294</v>
      </c>
      <c r="C7810" s="10" t="s">
        <v>7295</v>
      </c>
      <c r="D7810" s="10" t="s">
        <v>7485</v>
      </c>
      <c r="E7810" s="10" t="str">
        <f>"644020240517110530184962"</f>
        <v>644020240517110530184962</v>
      </c>
      <c r="F7810" s="9"/>
    </row>
    <row r="7811" s="2" customFormat="1" ht="30" customHeight="1" spans="1:6">
      <c r="A7811" s="9">
        <v>7808</v>
      </c>
      <c r="B7811" s="10" t="s">
        <v>7294</v>
      </c>
      <c r="C7811" s="10" t="s">
        <v>7295</v>
      </c>
      <c r="D7811" s="10" t="s">
        <v>7486</v>
      </c>
      <c r="E7811" s="10" t="str">
        <f>"644020240517121643185104"</f>
        <v>644020240517121643185104</v>
      </c>
      <c r="F7811" s="9"/>
    </row>
    <row r="7812" s="2" customFormat="1" ht="30" customHeight="1" spans="1:6">
      <c r="A7812" s="9">
        <v>7809</v>
      </c>
      <c r="B7812" s="10" t="s">
        <v>7294</v>
      </c>
      <c r="C7812" s="10" t="s">
        <v>7295</v>
      </c>
      <c r="D7812" s="10" t="s">
        <v>7487</v>
      </c>
      <c r="E7812" s="10" t="str">
        <f>"644020240517105345184936"</f>
        <v>644020240517105345184936</v>
      </c>
      <c r="F7812" s="9"/>
    </row>
    <row r="7813" s="2" customFormat="1" ht="30" customHeight="1" spans="1:6">
      <c r="A7813" s="9">
        <v>7810</v>
      </c>
      <c r="B7813" s="10" t="s">
        <v>7294</v>
      </c>
      <c r="C7813" s="10" t="s">
        <v>7295</v>
      </c>
      <c r="D7813" s="10" t="s">
        <v>7488</v>
      </c>
      <c r="E7813" s="10" t="str">
        <f>"644020240517104817184924"</f>
        <v>644020240517104817184924</v>
      </c>
      <c r="F7813" s="9"/>
    </row>
    <row r="7814" s="2" customFormat="1" ht="30" customHeight="1" spans="1:6">
      <c r="A7814" s="9">
        <v>7811</v>
      </c>
      <c r="B7814" s="10" t="s">
        <v>7294</v>
      </c>
      <c r="C7814" s="10" t="s">
        <v>7295</v>
      </c>
      <c r="D7814" s="10" t="s">
        <v>7489</v>
      </c>
      <c r="E7814" s="10" t="str">
        <f>"644020240515151329181646"</f>
        <v>644020240515151329181646</v>
      </c>
      <c r="F7814" s="9"/>
    </row>
    <row r="7815" s="2" customFormat="1" ht="30" customHeight="1" spans="1:6">
      <c r="A7815" s="9">
        <v>7812</v>
      </c>
      <c r="B7815" s="10" t="s">
        <v>7294</v>
      </c>
      <c r="C7815" s="10" t="s">
        <v>7295</v>
      </c>
      <c r="D7815" s="10" t="s">
        <v>7490</v>
      </c>
      <c r="E7815" s="10" t="str">
        <f>"644020240517093453184756"</f>
        <v>644020240517093453184756</v>
      </c>
      <c r="F7815" s="9"/>
    </row>
    <row r="7816" s="2" customFormat="1" ht="30" customHeight="1" spans="1:6">
      <c r="A7816" s="9">
        <v>7813</v>
      </c>
      <c r="B7816" s="10" t="s">
        <v>7294</v>
      </c>
      <c r="C7816" s="10" t="s">
        <v>7295</v>
      </c>
      <c r="D7816" s="10" t="s">
        <v>7491</v>
      </c>
      <c r="E7816" s="10" t="str">
        <f>"644020240517122039185110"</f>
        <v>644020240517122039185110</v>
      </c>
      <c r="F7816" s="9"/>
    </row>
    <row r="7817" s="2" customFormat="1" ht="30" customHeight="1" spans="1:6">
      <c r="A7817" s="9">
        <v>7814</v>
      </c>
      <c r="B7817" s="10" t="s">
        <v>7294</v>
      </c>
      <c r="C7817" s="10" t="s">
        <v>7295</v>
      </c>
      <c r="D7817" s="10" t="s">
        <v>3892</v>
      </c>
      <c r="E7817" s="10" t="str">
        <f>"644020240517130730185219"</f>
        <v>644020240517130730185219</v>
      </c>
      <c r="F7817" s="9"/>
    </row>
    <row r="7818" s="2" customFormat="1" ht="30" customHeight="1" spans="1:6">
      <c r="A7818" s="9">
        <v>7815</v>
      </c>
      <c r="B7818" s="10" t="s">
        <v>7294</v>
      </c>
      <c r="C7818" s="10" t="s">
        <v>7295</v>
      </c>
      <c r="D7818" s="10" t="s">
        <v>7076</v>
      </c>
      <c r="E7818" s="10" t="str">
        <f>"644020240515142414181551"</f>
        <v>644020240515142414181551</v>
      </c>
      <c r="F7818" s="9"/>
    </row>
    <row r="7819" s="2" customFormat="1" ht="30" customHeight="1" spans="1:6">
      <c r="A7819" s="9">
        <v>7816</v>
      </c>
      <c r="B7819" s="10" t="s">
        <v>7294</v>
      </c>
      <c r="C7819" s="10" t="s">
        <v>7295</v>
      </c>
      <c r="D7819" s="10" t="s">
        <v>7492</v>
      </c>
      <c r="E7819" s="10" t="str">
        <f>"644020240517131233185232"</f>
        <v>644020240517131233185232</v>
      </c>
      <c r="F7819" s="9"/>
    </row>
    <row r="7820" s="2" customFormat="1" ht="30" customHeight="1" spans="1:6">
      <c r="A7820" s="9">
        <v>7817</v>
      </c>
      <c r="B7820" s="10" t="s">
        <v>7294</v>
      </c>
      <c r="C7820" s="10" t="s">
        <v>7295</v>
      </c>
      <c r="D7820" s="10" t="s">
        <v>7493</v>
      </c>
      <c r="E7820" s="10" t="str">
        <f>"644020240517130354185212"</f>
        <v>644020240517130354185212</v>
      </c>
      <c r="F7820" s="9"/>
    </row>
    <row r="7821" s="2" customFormat="1" ht="30" customHeight="1" spans="1:6">
      <c r="A7821" s="9">
        <v>7818</v>
      </c>
      <c r="B7821" s="10" t="s">
        <v>7294</v>
      </c>
      <c r="C7821" s="10" t="s">
        <v>7295</v>
      </c>
      <c r="D7821" s="10" t="s">
        <v>7494</v>
      </c>
      <c r="E7821" s="10" t="str">
        <f>"644020240517001143184475"</f>
        <v>644020240517001143184475</v>
      </c>
      <c r="F7821" s="9"/>
    </row>
    <row r="7822" s="2" customFormat="1" ht="30" customHeight="1" spans="1:6">
      <c r="A7822" s="9">
        <v>7819</v>
      </c>
      <c r="B7822" s="10" t="s">
        <v>7294</v>
      </c>
      <c r="C7822" s="10" t="s">
        <v>7295</v>
      </c>
      <c r="D7822" s="10" t="s">
        <v>7495</v>
      </c>
      <c r="E7822" s="10" t="str">
        <f>"644020240517133958185283"</f>
        <v>644020240517133958185283</v>
      </c>
      <c r="F7822" s="9"/>
    </row>
    <row r="7823" s="2" customFormat="1" ht="30" customHeight="1" spans="1:6">
      <c r="A7823" s="9">
        <v>7820</v>
      </c>
      <c r="B7823" s="10" t="s">
        <v>7294</v>
      </c>
      <c r="C7823" s="10" t="s">
        <v>7295</v>
      </c>
      <c r="D7823" s="10" t="s">
        <v>7496</v>
      </c>
      <c r="E7823" s="10" t="str">
        <f>"644020240517143106185366"</f>
        <v>644020240517143106185366</v>
      </c>
      <c r="F7823" s="9"/>
    </row>
    <row r="7824" s="2" customFormat="1" ht="30" customHeight="1" spans="1:6">
      <c r="A7824" s="9">
        <v>7821</v>
      </c>
      <c r="B7824" s="10" t="s">
        <v>7294</v>
      </c>
      <c r="C7824" s="10" t="s">
        <v>7295</v>
      </c>
      <c r="D7824" s="10" t="s">
        <v>7497</v>
      </c>
      <c r="E7824" s="10" t="str">
        <f>"644020240517151215185452"</f>
        <v>644020240517151215185452</v>
      </c>
      <c r="F7824" s="9"/>
    </row>
    <row r="7825" s="2" customFormat="1" ht="30" customHeight="1" spans="1:6">
      <c r="A7825" s="9">
        <v>7822</v>
      </c>
      <c r="B7825" s="10" t="s">
        <v>7294</v>
      </c>
      <c r="C7825" s="10" t="s">
        <v>7295</v>
      </c>
      <c r="D7825" s="10" t="s">
        <v>7498</v>
      </c>
      <c r="E7825" s="10" t="str">
        <f>"644020240515123736181382"</f>
        <v>644020240515123736181382</v>
      </c>
      <c r="F7825" s="9"/>
    </row>
    <row r="7826" s="2" customFormat="1" ht="30" customHeight="1" spans="1:6">
      <c r="A7826" s="9">
        <v>7823</v>
      </c>
      <c r="B7826" s="10" t="s">
        <v>7294</v>
      </c>
      <c r="C7826" s="10" t="s">
        <v>7295</v>
      </c>
      <c r="D7826" s="10" t="s">
        <v>1255</v>
      </c>
      <c r="E7826" s="10" t="str">
        <f>"644020240515122912181372"</f>
        <v>644020240515122912181372</v>
      </c>
      <c r="F7826" s="9"/>
    </row>
    <row r="7827" s="2" customFormat="1" ht="30" customHeight="1" spans="1:6">
      <c r="A7827" s="9">
        <v>7824</v>
      </c>
      <c r="B7827" s="10" t="s">
        <v>7294</v>
      </c>
      <c r="C7827" s="10" t="s">
        <v>7295</v>
      </c>
      <c r="D7827" s="10" t="s">
        <v>140</v>
      </c>
      <c r="E7827" s="10" t="str">
        <f>"644020240517151334185454"</f>
        <v>644020240517151334185454</v>
      </c>
      <c r="F7827" s="9"/>
    </row>
    <row r="7828" s="2" customFormat="1" ht="30" customHeight="1" spans="1:6">
      <c r="A7828" s="9">
        <v>7825</v>
      </c>
      <c r="B7828" s="10" t="s">
        <v>7294</v>
      </c>
      <c r="C7828" s="10" t="s">
        <v>7295</v>
      </c>
      <c r="D7828" s="10" t="s">
        <v>7499</v>
      </c>
      <c r="E7828" s="10" t="str">
        <f>"644020240517144649185390"</f>
        <v>644020240517144649185390</v>
      </c>
      <c r="F7828" s="9"/>
    </row>
    <row r="7829" s="2" customFormat="1" ht="30" customHeight="1" spans="1:6">
      <c r="A7829" s="9">
        <v>7826</v>
      </c>
      <c r="B7829" s="10" t="s">
        <v>7294</v>
      </c>
      <c r="C7829" s="10" t="s">
        <v>7295</v>
      </c>
      <c r="D7829" s="10" t="s">
        <v>7500</v>
      </c>
      <c r="E7829" s="10" t="str">
        <f>"644020240517112702185019"</f>
        <v>644020240517112702185019</v>
      </c>
      <c r="F7829" s="9"/>
    </row>
    <row r="7830" s="2" customFormat="1" ht="30" customHeight="1" spans="1:6">
      <c r="A7830" s="9">
        <v>7827</v>
      </c>
      <c r="B7830" s="10" t="s">
        <v>7294</v>
      </c>
      <c r="C7830" s="10" t="s">
        <v>7295</v>
      </c>
      <c r="D7830" s="10" t="s">
        <v>7501</v>
      </c>
      <c r="E7830" s="10" t="str">
        <f>"644020240517110020184952"</f>
        <v>644020240517110020184952</v>
      </c>
      <c r="F7830" s="9"/>
    </row>
    <row r="7831" s="2" customFormat="1" ht="30" customHeight="1" spans="1:6">
      <c r="A7831" s="9">
        <v>7828</v>
      </c>
      <c r="B7831" s="10" t="s">
        <v>7294</v>
      </c>
      <c r="C7831" s="10" t="s">
        <v>7295</v>
      </c>
      <c r="D7831" s="10" t="s">
        <v>7502</v>
      </c>
      <c r="E7831" s="10" t="str">
        <f>"644020240517164542185680"</f>
        <v>644020240517164542185680</v>
      </c>
      <c r="F7831" s="9"/>
    </row>
    <row r="7832" s="2" customFormat="1" ht="30" customHeight="1" spans="1:6">
      <c r="A7832" s="9">
        <v>7829</v>
      </c>
      <c r="B7832" s="10" t="s">
        <v>7294</v>
      </c>
      <c r="C7832" s="10" t="s">
        <v>7295</v>
      </c>
      <c r="D7832" s="10" t="s">
        <v>7503</v>
      </c>
      <c r="E7832" s="10" t="str">
        <f>"644020240517155321185574"</f>
        <v>644020240517155321185574</v>
      </c>
      <c r="F7832" s="9"/>
    </row>
    <row r="7833" s="2" customFormat="1" ht="30" customHeight="1" spans="1:6">
      <c r="A7833" s="9">
        <v>7830</v>
      </c>
      <c r="B7833" s="10" t="s">
        <v>7294</v>
      </c>
      <c r="C7833" s="10" t="s">
        <v>7295</v>
      </c>
      <c r="D7833" s="10" t="s">
        <v>7504</v>
      </c>
      <c r="E7833" s="10" t="str">
        <f>"644020240515090831180787"</f>
        <v>644020240515090831180787</v>
      </c>
      <c r="F7833" s="9"/>
    </row>
    <row r="7834" s="2" customFormat="1" ht="30" customHeight="1" spans="1:6">
      <c r="A7834" s="9">
        <v>7831</v>
      </c>
      <c r="B7834" s="10" t="s">
        <v>7294</v>
      </c>
      <c r="C7834" s="10" t="s">
        <v>7295</v>
      </c>
      <c r="D7834" s="10" t="s">
        <v>7505</v>
      </c>
      <c r="E7834" s="10" t="str">
        <f>"644020240513165107176056"</f>
        <v>644020240513165107176056</v>
      </c>
      <c r="F7834" s="9"/>
    </row>
    <row r="7835" s="2" customFormat="1" ht="30" customHeight="1" spans="1:6">
      <c r="A7835" s="9">
        <v>7832</v>
      </c>
      <c r="B7835" s="10" t="s">
        <v>7294</v>
      </c>
      <c r="C7835" s="10" t="s">
        <v>7295</v>
      </c>
      <c r="D7835" s="10" t="s">
        <v>7506</v>
      </c>
      <c r="E7835" s="10" t="str">
        <f>"644020240516215729184213"</f>
        <v>644020240516215729184213</v>
      </c>
      <c r="F7835" s="9"/>
    </row>
    <row r="7836" s="2" customFormat="1" ht="30" customHeight="1" spans="1:6">
      <c r="A7836" s="9">
        <v>7833</v>
      </c>
      <c r="B7836" s="10" t="s">
        <v>7294</v>
      </c>
      <c r="C7836" s="10" t="s">
        <v>7295</v>
      </c>
      <c r="D7836" s="10" t="s">
        <v>7507</v>
      </c>
      <c r="E7836" s="10" t="str">
        <f>"644020240517195756185929"</f>
        <v>644020240517195756185929</v>
      </c>
      <c r="F7836" s="9"/>
    </row>
    <row r="7837" s="2" customFormat="1" ht="30" customHeight="1" spans="1:6">
      <c r="A7837" s="9">
        <v>7834</v>
      </c>
      <c r="B7837" s="10" t="s">
        <v>7294</v>
      </c>
      <c r="C7837" s="10" t="s">
        <v>7295</v>
      </c>
      <c r="D7837" s="10" t="s">
        <v>2491</v>
      </c>
      <c r="E7837" s="10" t="str">
        <f>"644020240517081216184613"</f>
        <v>644020240517081216184613</v>
      </c>
      <c r="F7837" s="9"/>
    </row>
    <row r="7838" s="2" customFormat="1" ht="30" customHeight="1" spans="1:6">
      <c r="A7838" s="9">
        <v>7835</v>
      </c>
      <c r="B7838" s="10" t="s">
        <v>7294</v>
      </c>
      <c r="C7838" s="10" t="s">
        <v>7295</v>
      </c>
      <c r="D7838" s="10" t="s">
        <v>7508</v>
      </c>
      <c r="E7838" s="10" t="str">
        <f>"644020240517210946185967"</f>
        <v>644020240517210946185967</v>
      </c>
      <c r="F7838" s="9"/>
    </row>
    <row r="7839" s="2" customFormat="1" ht="30" customHeight="1" spans="1:6">
      <c r="A7839" s="9">
        <v>7836</v>
      </c>
      <c r="B7839" s="10" t="s">
        <v>7294</v>
      </c>
      <c r="C7839" s="10" t="s">
        <v>7295</v>
      </c>
      <c r="D7839" s="10" t="s">
        <v>7509</v>
      </c>
      <c r="E7839" s="10" t="str">
        <f>"644020240517184959185858"</f>
        <v>644020240517184959185858</v>
      </c>
      <c r="F7839" s="9"/>
    </row>
    <row r="7840" s="2" customFormat="1" ht="30" customHeight="1" spans="1:6">
      <c r="A7840" s="9">
        <v>7837</v>
      </c>
      <c r="B7840" s="10" t="s">
        <v>7294</v>
      </c>
      <c r="C7840" s="10" t="s">
        <v>7295</v>
      </c>
      <c r="D7840" s="10" t="s">
        <v>7510</v>
      </c>
      <c r="E7840" s="10" t="str">
        <f>"644020240517164039185671"</f>
        <v>644020240517164039185671</v>
      </c>
      <c r="F7840" s="9"/>
    </row>
    <row r="7841" s="2" customFormat="1" ht="30" customHeight="1" spans="1:6">
      <c r="A7841" s="9">
        <v>7838</v>
      </c>
      <c r="B7841" s="10" t="s">
        <v>7294</v>
      </c>
      <c r="C7841" s="10" t="s">
        <v>7295</v>
      </c>
      <c r="D7841" s="10" t="s">
        <v>7511</v>
      </c>
      <c r="E7841" s="10" t="str">
        <f>"644020240515112457181226"</f>
        <v>644020240515112457181226</v>
      </c>
      <c r="F7841" s="9"/>
    </row>
    <row r="7842" s="2" customFormat="1" ht="30" customHeight="1" spans="1:6">
      <c r="A7842" s="9">
        <v>7839</v>
      </c>
      <c r="B7842" s="10" t="s">
        <v>7294</v>
      </c>
      <c r="C7842" s="10" t="s">
        <v>7295</v>
      </c>
      <c r="D7842" s="10" t="s">
        <v>7512</v>
      </c>
      <c r="E7842" s="10" t="str">
        <f>"644020240517232503186096"</f>
        <v>644020240517232503186096</v>
      </c>
      <c r="F7842" s="9"/>
    </row>
    <row r="7843" s="2" customFormat="1" ht="30" customHeight="1" spans="1:6">
      <c r="A7843" s="9">
        <v>7840</v>
      </c>
      <c r="B7843" s="10" t="s">
        <v>7294</v>
      </c>
      <c r="C7843" s="10" t="s">
        <v>7295</v>
      </c>
      <c r="D7843" s="10" t="s">
        <v>2044</v>
      </c>
      <c r="E7843" s="10" t="str">
        <f>"644020240517121238185097"</f>
        <v>644020240517121238185097</v>
      </c>
      <c r="F7843" s="9"/>
    </row>
    <row r="7844" s="2" customFormat="1" ht="30" customHeight="1" spans="1:6">
      <c r="A7844" s="9">
        <v>7841</v>
      </c>
      <c r="B7844" s="10" t="s">
        <v>7294</v>
      </c>
      <c r="C7844" s="10" t="s">
        <v>7295</v>
      </c>
      <c r="D7844" s="10" t="s">
        <v>7513</v>
      </c>
      <c r="E7844" s="10" t="str">
        <f>"644020240517223159186060"</f>
        <v>644020240517223159186060</v>
      </c>
      <c r="F7844" s="9"/>
    </row>
    <row r="7845" s="2" customFormat="1" ht="30" customHeight="1" spans="1:6">
      <c r="A7845" s="9">
        <v>7842</v>
      </c>
      <c r="B7845" s="10" t="s">
        <v>7294</v>
      </c>
      <c r="C7845" s="10" t="s">
        <v>7295</v>
      </c>
      <c r="D7845" s="10" t="s">
        <v>7514</v>
      </c>
      <c r="E7845" s="10" t="str">
        <f>"644020240518001621186177"</f>
        <v>644020240518001621186177</v>
      </c>
      <c r="F7845" s="9"/>
    </row>
    <row r="7846" s="2" customFormat="1" ht="30" customHeight="1" spans="1:6">
      <c r="A7846" s="9">
        <v>7843</v>
      </c>
      <c r="B7846" s="10" t="s">
        <v>7294</v>
      </c>
      <c r="C7846" s="10" t="s">
        <v>7295</v>
      </c>
      <c r="D7846" s="10" t="s">
        <v>7515</v>
      </c>
      <c r="E7846" s="10" t="str">
        <f>"644020240518002108186183"</f>
        <v>644020240518002108186183</v>
      </c>
      <c r="F7846" s="9"/>
    </row>
    <row r="7847" s="2" customFormat="1" ht="30" customHeight="1" spans="1:6">
      <c r="A7847" s="9">
        <v>7844</v>
      </c>
      <c r="B7847" s="10" t="s">
        <v>7294</v>
      </c>
      <c r="C7847" s="10" t="s">
        <v>7295</v>
      </c>
      <c r="D7847" s="10" t="s">
        <v>3573</v>
      </c>
      <c r="E7847" s="10" t="str">
        <f>"644020240518004633186214"</f>
        <v>644020240518004633186214</v>
      </c>
      <c r="F7847" s="9"/>
    </row>
    <row r="7848" s="2" customFormat="1" ht="30" customHeight="1" spans="1:6">
      <c r="A7848" s="9">
        <v>7845</v>
      </c>
      <c r="B7848" s="10" t="s">
        <v>7294</v>
      </c>
      <c r="C7848" s="10" t="s">
        <v>7295</v>
      </c>
      <c r="D7848" s="10" t="s">
        <v>1690</v>
      </c>
      <c r="E7848" s="10" t="str">
        <f>"644020240515221556182380"</f>
        <v>644020240515221556182380</v>
      </c>
      <c r="F7848" s="9"/>
    </row>
    <row r="7849" s="2" customFormat="1" ht="30" customHeight="1" spans="1:6">
      <c r="A7849" s="9">
        <v>7846</v>
      </c>
      <c r="B7849" s="10" t="s">
        <v>7294</v>
      </c>
      <c r="C7849" s="10" t="s">
        <v>7295</v>
      </c>
      <c r="D7849" s="10" t="s">
        <v>7516</v>
      </c>
      <c r="E7849" s="10" t="str">
        <f>"644020240518052516186310"</f>
        <v>644020240518052516186310</v>
      </c>
      <c r="F7849" s="9"/>
    </row>
    <row r="7850" s="2" customFormat="1" ht="30" customHeight="1" spans="1:6">
      <c r="A7850" s="9">
        <v>7847</v>
      </c>
      <c r="B7850" s="10" t="s">
        <v>7294</v>
      </c>
      <c r="C7850" s="10" t="s">
        <v>7295</v>
      </c>
      <c r="D7850" s="10" t="s">
        <v>7517</v>
      </c>
      <c r="E7850" s="10" t="str">
        <f>"644020240517145802185418"</f>
        <v>644020240517145802185418</v>
      </c>
      <c r="F7850" s="9"/>
    </row>
    <row r="7851" s="2" customFormat="1" ht="30" customHeight="1" spans="1:6">
      <c r="A7851" s="9">
        <v>7848</v>
      </c>
      <c r="B7851" s="10" t="s">
        <v>7294</v>
      </c>
      <c r="C7851" s="10" t="s">
        <v>7295</v>
      </c>
      <c r="D7851" s="10" t="s">
        <v>7518</v>
      </c>
      <c r="E7851" s="10" t="str">
        <f>"644020240518081440186379"</f>
        <v>644020240518081440186379</v>
      </c>
      <c r="F7851" s="9"/>
    </row>
    <row r="7852" s="2" customFormat="1" ht="30" customHeight="1" spans="1:6">
      <c r="A7852" s="9">
        <v>7849</v>
      </c>
      <c r="B7852" s="10" t="s">
        <v>7294</v>
      </c>
      <c r="C7852" s="10" t="s">
        <v>7295</v>
      </c>
      <c r="D7852" s="10" t="s">
        <v>7519</v>
      </c>
      <c r="E7852" s="10" t="str">
        <f>"644020240518083027186402"</f>
        <v>644020240518083027186402</v>
      </c>
      <c r="F7852" s="9"/>
    </row>
    <row r="7853" s="2" customFormat="1" ht="30" customHeight="1" spans="1:6">
      <c r="A7853" s="9">
        <v>7850</v>
      </c>
      <c r="B7853" s="10" t="s">
        <v>7294</v>
      </c>
      <c r="C7853" s="10" t="s">
        <v>7295</v>
      </c>
      <c r="D7853" s="10" t="s">
        <v>2735</v>
      </c>
      <c r="E7853" s="10" t="str">
        <f>"644020240517073542184578"</f>
        <v>644020240517073542184578</v>
      </c>
      <c r="F7853" s="9"/>
    </row>
    <row r="7854" s="2" customFormat="1" ht="30" customHeight="1" spans="1:6">
      <c r="A7854" s="9">
        <v>7851</v>
      </c>
      <c r="B7854" s="10" t="s">
        <v>7294</v>
      </c>
      <c r="C7854" s="10" t="s">
        <v>7295</v>
      </c>
      <c r="D7854" s="10" t="s">
        <v>7520</v>
      </c>
      <c r="E7854" s="10" t="str">
        <f>"644020240518082719186398"</f>
        <v>644020240518082719186398</v>
      </c>
      <c r="F7854" s="9"/>
    </row>
    <row r="7855" s="2" customFormat="1" ht="30" customHeight="1" spans="1:6">
      <c r="A7855" s="9">
        <v>7852</v>
      </c>
      <c r="B7855" s="10" t="s">
        <v>7294</v>
      </c>
      <c r="C7855" s="10" t="s">
        <v>7295</v>
      </c>
      <c r="D7855" s="10" t="s">
        <v>7521</v>
      </c>
      <c r="E7855" s="10" t="str">
        <f>"644020240518092531186495"</f>
        <v>644020240518092531186495</v>
      </c>
      <c r="F7855" s="9"/>
    </row>
    <row r="7856" s="2" customFormat="1" ht="30" customHeight="1" spans="1:6">
      <c r="A7856" s="9">
        <v>7853</v>
      </c>
      <c r="B7856" s="10" t="s">
        <v>7294</v>
      </c>
      <c r="C7856" s="10" t="s">
        <v>7295</v>
      </c>
      <c r="D7856" s="10" t="s">
        <v>485</v>
      </c>
      <c r="E7856" s="10" t="str">
        <f>"644020240518092205186487"</f>
        <v>644020240518092205186487</v>
      </c>
      <c r="F7856" s="9"/>
    </row>
    <row r="7857" s="2" customFormat="1" ht="30" customHeight="1" spans="1:6">
      <c r="A7857" s="9">
        <v>7854</v>
      </c>
      <c r="B7857" s="10" t="s">
        <v>7294</v>
      </c>
      <c r="C7857" s="10" t="s">
        <v>7295</v>
      </c>
      <c r="D7857" s="10" t="s">
        <v>7522</v>
      </c>
      <c r="E7857" s="10" t="str">
        <f>"644020240517233749186117"</f>
        <v>644020240517233749186117</v>
      </c>
      <c r="F7857" s="9"/>
    </row>
    <row r="7858" s="2" customFormat="1" ht="30" customHeight="1" spans="1:6">
      <c r="A7858" s="9">
        <v>7855</v>
      </c>
      <c r="B7858" s="10" t="s">
        <v>7294</v>
      </c>
      <c r="C7858" s="10" t="s">
        <v>7295</v>
      </c>
      <c r="D7858" s="10" t="s">
        <v>3440</v>
      </c>
      <c r="E7858" s="10" t="str">
        <f>"644020240518091225186468"</f>
        <v>644020240518091225186468</v>
      </c>
      <c r="F7858" s="9"/>
    </row>
    <row r="7859" s="2" customFormat="1" ht="30" customHeight="1" spans="1:6">
      <c r="A7859" s="9">
        <v>7856</v>
      </c>
      <c r="B7859" s="10" t="s">
        <v>7294</v>
      </c>
      <c r="C7859" s="10" t="s">
        <v>7295</v>
      </c>
      <c r="D7859" s="10" t="s">
        <v>7523</v>
      </c>
      <c r="E7859" s="10" t="str">
        <f>"644020240517154357185546"</f>
        <v>644020240517154357185546</v>
      </c>
      <c r="F7859" s="9"/>
    </row>
    <row r="7860" s="2" customFormat="1" ht="30" customHeight="1" spans="1:6">
      <c r="A7860" s="9">
        <v>7857</v>
      </c>
      <c r="B7860" s="10" t="s">
        <v>7294</v>
      </c>
      <c r="C7860" s="10" t="s">
        <v>7295</v>
      </c>
      <c r="D7860" s="10" t="s">
        <v>7524</v>
      </c>
      <c r="E7860" s="10" t="str">
        <f>"644020240517192600185885"</f>
        <v>644020240517192600185885</v>
      </c>
      <c r="F7860" s="9"/>
    </row>
    <row r="7861" s="2" customFormat="1" ht="30" customHeight="1" spans="1:6">
      <c r="A7861" s="9">
        <v>7858</v>
      </c>
      <c r="B7861" s="10" t="s">
        <v>7294</v>
      </c>
      <c r="C7861" s="10" t="s">
        <v>7295</v>
      </c>
      <c r="D7861" s="10" t="s">
        <v>7525</v>
      </c>
      <c r="E7861" s="10" t="str">
        <f>"644020240515222024182392"</f>
        <v>644020240515222024182392</v>
      </c>
      <c r="F7861" s="9"/>
    </row>
    <row r="7862" s="2" customFormat="1" ht="30" customHeight="1" spans="1:6">
      <c r="A7862" s="9">
        <v>7859</v>
      </c>
      <c r="B7862" s="10" t="s">
        <v>7294</v>
      </c>
      <c r="C7862" s="10" t="s">
        <v>7295</v>
      </c>
      <c r="D7862" s="10" t="s">
        <v>7526</v>
      </c>
      <c r="E7862" s="10" t="str">
        <f>"644020240518114009186783"</f>
        <v>644020240518114009186783</v>
      </c>
      <c r="F7862" s="9"/>
    </row>
    <row r="7863" s="2" customFormat="1" ht="30" customHeight="1" spans="1:6">
      <c r="A7863" s="9">
        <v>7860</v>
      </c>
      <c r="B7863" s="10" t="s">
        <v>7527</v>
      </c>
      <c r="C7863" s="10" t="s">
        <v>7528</v>
      </c>
      <c r="D7863" s="10" t="s">
        <v>7529</v>
      </c>
      <c r="E7863" s="10" t="str">
        <f>"644020240512091210168158"</f>
        <v>644020240512091210168158</v>
      </c>
      <c r="F7863" s="9"/>
    </row>
    <row r="7864" s="2" customFormat="1" ht="30" customHeight="1" spans="1:6">
      <c r="A7864" s="9">
        <v>7861</v>
      </c>
      <c r="B7864" s="10" t="s">
        <v>7527</v>
      </c>
      <c r="C7864" s="10" t="s">
        <v>7528</v>
      </c>
      <c r="D7864" s="10" t="s">
        <v>237</v>
      </c>
      <c r="E7864" s="10" t="str">
        <f>"644020240512093501168266"</f>
        <v>644020240512093501168266</v>
      </c>
      <c r="F7864" s="9"/>
    </row>
    <row r="7865" s="2" customFormat="1" ht="30" customHeight="1" spans="1:6">
      <c r="A7865" s="9">
        <v>7862</v>
      </c>
      <c r="B7865" s="10" t="s">
        <v>7527</v>
      </c>
      <c r="C7865" s="10" t="s">
        <v>7528</v>
      </c>
      <c r="D7865" s="10" t="s">
        <v>7530</v>
      </c>
      <c r="E7865" s="10" t="str">
        <f>"644020240512100450168411"</f>
        <v>644020240512100450168411</v>
      </c>
      <c r="F7865" s="9"/>
    </row>
    <row r="7866" s="2" customFormat="1" ht="30" customHeight="1" spans="1:6">
      <c r="A7866" s="9">
        <v>7863</v>
      </c>
      <c r="B7866" s="10" t="s">
        <v>7527</v>
      </c>
      <c r="C7866" s="10" t="s">
        <v>7528</v>
      </c>
      <c r="D7866" s="10" t="s">
        <v>7531</v>
      </c>
      <c r="E7866" s="10" t="str">
        <f>"644020240512103431168589"</f>
        <v>644020240512103431168589</v>
      </c>
      <c r="F7866" s="9"/>
    </row>
    <row r="7867" s="2" customFormat="1" ht="30" customHeight="1" spans="1:6">
      <c r="A7867" s="9">
        <v>7864</v>
      </c>
      <c r="B7867" s="10" t="s">
        <v>7527</v>
      </c>
      <c r="C7867" s="10" t="s">
        <v>7528</v>
      </c>
      <c r="D7867" s="10" t="s">
        <v>7532</v>
      </c>
      <c r="E7867" s="10" t="str">
        <f>"644020240512102818168550"</f>
        <v>644020240512102818168550</v>
      </c>
      <c r="F7867" s="9"/>
    </row>
    <row r="7868" s="2" customFormat="1" ht="30" customHeight="1" spans="1:6">
      <c r="A7868" s="9">
        <v>7865</v>
      </c>
      <c r="B7868" s="10" t="s">
        <v>7527</v>
      </c>
      <c r="C7868" s="10" t="s">
        <v>7528</v>
      </c>
      <c r="D7868" s="10" t="s">
        <v>3573</v>
      </c>
      <c r="E7868" s="10" t="str">
        <f>"644020240512110445168745"</f>
        <v>644020240512110445168745</v>
      </c>
      <c r="F7868" s="9"/>
    </row>
    <row r="7869" s="2" customFormat="1" ht="30" customHeight="1" spans="1:6">
      <c r="A7869" s="9">
        <v>7866</v>
      </c>
      <c r="B7869" s="10" t="s">
        <v>7527</v>
      </c>
      <c r="C7869" s="10" t="s">
        <v>7528</v>
      </c>
      <c r="D7869" s="10" t="s">
        <v>7533</v>
      </c>
      <c r="E7869" s="10" t="str">
        <f>"644020240512095626168362"</f>
        <v>644020240512095626168362</v>
      </c>
      <c r="F7869" s="9"/>
    </row>
    <row r="7870" s="2" customFormat="1" ht="30" customHeight="1" spans="1:6">
      <c r="A7870" s="9">
        <v>7867</v>
      </c>
      <c r="B7870" s="10" t="s">
        <v>7527</v>
      </c>
      <c r="C7870" s="10" t="s">
        <v>7528</v>
      </c>
      <c r="D7870" s="10" t="s">
        <v>7321</v>
      </c>
      <c r="E7870" s="10" t="str">
        <f>"644020240512115558168994"</f>
        <v>644020240512115558168994</v>
      </c>
      <c r="F7870" s="9"/>
    </row>
    <row r="7871" s="2" customFormat="1" ht="30" customHeight="1" spans="1:6">
      <c r="A7871" s="9">
        <v>7868</v>
      </c>
      <c r="B7871" s="10" t="s">
        <v>7527</v>
      </c>
      <c r="C7871" s="10" t="s">
        <v>7528</v>
      </c>
      <c r="D7871" s="10" t="s">
        <v>7534</v>
      </c>
      <c r="E7871" s="10" t="str">
        <f>"644020240512130952169279"</f>
        <v>644020240512130952169279</v>
      </c>
      <c r="F7871" s="9"/>
    </row>
    <row r="7872" s="2" customFormat="1" ht="30" customHeight="1" spans="1:6">
      <c r="A7872" s="9">
        <v>7869</v>
      </c>
      <c r="B7872" s="10" t="s">
        <v>7527</v>
      </c>
      <c r="C7872" s="10" t="s">
        <v>7528</v>
      </c>
      <c r="D7872" s="10" t="s">
        <v>7535</v>
      </c>
      <c r="E7872" s="10" t="str">
        <f>"644020240512132723169348"</f>
        <v>644020240512132723169348</v>
      </c>
      <c r="F7872" s="9"/>
    </row>
    <row r="7873" s="2" customFormat="1" ht="30" customHeight="1" spans="1:6">
      <c r="A7873" s="9">
        <v>7870</v>
      </c>
      <c r="B7873" s="10" t="s">
        <v>7527</v>
      </c>
      <c r="C7873" s="10" t="s">
        <v>7528</v>
      </c>
      <c r="D7873" s="10" t="s">
        <v>7536</v>
      </c>
      <c r="E7873" s="10" t="str">
        <f>"644020240512142046169527"</f>
        <v>644020240512142046169527</v>
      </c>
      <c r="F7873" s="9"/>
    </row>
    <row r="7874" s="2" customFormat="1" ht="30" customHeight="1" spans="1:6">
      <c r="A7874" s="9">
        <v>7871</v>
      </c>
      <c r="B7874" s="10" t="s">
        <v>7527</v>
      </c>
      <c r="C7874" s="10" t="s">
        <v>7528</v>
      </c>
      <c r="D7874" s="10" t="s">
        <v>7537</v>
      </c>
      <c r="E7874" s="10" t="str">
        <f>"644020240512090144168097"</f>
        <v>644020240512090144168097</v>
      </c>
      <c r="F7874" s="9"/>
    </row>
    <row r="7875" s="2" customFormat="1" ht="30" customHeight="1" spans="1:6">
      <c r="A7875" s="9">
        <v>7872</v>
      </c>
      <c r="B7875" s="10" t="s">
        <v>7527</v>
      </c>
      <c r="C7875" s="10" t="s">
        <v>7528</v>
      </c>
      <c r="D7875" s="10" t="s">
        <v>7538</v>
      </c>
      <c r="E7875" s="10" t="str">
        <f>"644020240512153651169788"</f>
        <v>644020240512153651169788</v>
      </c>
      <c r="F7875" s="9"/>
    </row>
    <row r="7876" s="2" customFormat="1" ht="30" customHeight="1" spans="1:6">
      <c r="A7876" s="9">
        <v>7873</v>
      </c>
      <c r="B7876" s="10" t="s">
        <v>7527</v>
      </c>
      <c r="C7876" s="10" t="s">
        <v>7528</v>
      </c>
      <c r="D7876" s="10" t="s">
        <v>7539</v>
      </c>
      <c r="E7876" s="10" t="str">
        <f>"644020240512152301169738"</f>
        <v>644020240512152301169738</v>
      </c>
      <c r="F7876" s="9"/>
    </row>
    <row r="7877" s="2" customFormat="1" ht="30" customHeight="1" spans="1:6">
      <c r="A7877" s="9">
        <v>7874</v>
      </c>
      <c r="B7877" s="10" t="s">
        <v>7527</v>
      </c>
      <c r="C7877" s="10" t="s">
        <v>7528</v>
      </c>
      <c r="D7877" s="10" t="s">
        <v>7540</v>
      </c>
      <c r="E7877" s="10" t="str">
        <f>"644020240512144616169594"</f>
        <v>644020240512144616169594</v>
      </c>
      <c r="F7877" s="9"/>
    </row>
    <row r="7878" s="2" customFormat="1" ht="30" customHeight="1" spans="1:6">
      <c r="A7878" s="9">
        <v>7875</v>
      </c>
      <c r="B7878" s="10" t="s">
        <v>7527</v>
      </c>
      <c r="C7878" s="10" t="s">
        <v>7528</v>
      </c>
      <c r="D7878" s="10" t="s">
        <v>1317</v>
      </c>
      <c r="E7878" s="10" t="str">
        <f>"644020240512164407170053"</f>
        <v>644020240512164407170053</v>
      </c>
      <c r="F7878" s="9"/>
    </row>
    <row r="7879" s="2" customFormat="1" ht="30" customHeight="1" spans="1:6">
      <c r="A7879" s="9">
        <v>7876</v>
      </c>
      <c r="B7879" s="10" t="s">
        <v>7527</v>
      </c>
      <c r="C7879" s="10" t="s">
        <v>7528</v>
      </c>
      <c r="D7879" s="10" t="s">
        <v>7541</v>
      </c>
      <c r="E7879" s="10" t="str">
        <f>"644020240512153203169769"</f>
        <v>644020240512153203169769</v>
      </c>
      <c r="F7879" s="9"/>
    </row>
    <row r="7880" s="2" customFormat="1" ht="30" customHeight="1" spans="1:6">
      <c r="A7880" s="9">
        <v>7877</v>
      </c>
      <c r="B7880" s="10" t="s">
        <v>7527</v>
      </c>
      <c r="C7880" s="10" t="s">
        <v>7528</v>
      </c>
      <c r="D7880" s="10" t="s">
        <v>4170</v>
      </c>
      <c r="E7880" s="10" t="str">
        <f>"644020240512144254169581"</f>
        <v>644020240512144254169581</v>
      </c>
      <c r="F7880" s="9"/>
    </row>
    <row r="7881" s="2" customFormat="1" ht="30" customHeight="1" spans="1:6">
      <c r="A7881" s="9">
        <v>7878</v>
      </c>
      <c r="B7881" s="10" t="s">
        <v>7527</v>
      </c>
      <c r="C7881" s="10" t="s">
        <v>7528</v>
      </c>
      <c r="D7881" s="10" t="s">
        <v>7542</v>
      </c>
      <c r="E7881" s="10" t="str">
        <f>"644020240512171245170145"</f>
        <v>644020240512171245170145</v>
      </c>
      <c r="F7881" s="9"/>
    </row>
    <row r="7882" s="2" customFormat="1" ht="30" customHeight="1" spans="1:6">
      <c r="A7882" s="9">
        <v>7879</v>
      </c>
      <c r="B7882" s="10" t="s">
        <v>7527</v>
      </c>
      <c r="C7882" s="10" t="s">
        <v>7528</v>
      </c>
      <c r="D7882" s="10" t="s">
        <v>7543</v>
      </c>
      <c r="E7882" s="10" t="str">
        <f>"644020240512172814170205"</f>
        <v>644020240512172814170205</v>
      </c>
      <c r="F7882" s="9"/>
    </row>
    <row r="7883" s="2" customFormat="1" ht="30" customHeight="1" spans="1:6">
      <c r="A7883" s="9">
        <v>7880</v>
      </c>
      <c r="B7883" s="10" t="s">
        <v>7527</v>
      </c>
      <c r="C7883" s="10" t="s">
        <v>7528</v>
      </c>
      <c r="D7883" s="10" t="s">
        <v>7544</v>
      </c>
      <c r="E7883" s="10" t="str">
        <f>"644020240512172501170192"</f>
        <v>644020240512172501170192</v>
      </c>
      <c r="F7883" s="9"/>
    </row>
    <row r="7884" s="2" customFormat="1" ht="30" customHeight="1" spans="1:6">
      <c r="A7884" s="9">
        <v>7881</v>
      </c>
      <c r="B7884" s="10" t="s">
        <v>7527</v>
      </c>
      <c r="C7884" s="10" t="s">
        <v>7528</v>
      </c>
      <c r="D7884" s="10" t="s">
        <v>7545</v>
      </c>
      <c r="E7884" s="10" t="str">
        <f>"644020240512181302170343"</f>
        <v>644020240512181302170343</v>
      </c>
      <c r="F7884" s="9"/>
    </row>
    <row r="7885" s="2" customFormat="1" ht="30" customHeight="1" spans="1:6">
      <c r="A7885" s="9">
        <v>7882</v>
      </c>
      <c r="B7885" s="10" t="s">
        <v>7527</v>
      </c>
      <c r="C7885" s="10" t="s">
        <v>7528</v>
      </c>
      <c r="D7885" s="10" t="s">
        <v>7546</v>
      </c>
      <c r="E7885" s="10" t="str">
        <f>"644020240512185148170484"</f>
        <v>644020240512185148170484</v>
      </c>
      <c r="F7885" s="9"/>
    </row>
    <row r="7886" s="2" customFormat="1" ht="30" customHeight="1" spans="1:6">
      <c r="A7886" s="9">
        <v>7883</v>
      </c>
      <c r="B7886" s="10" t="s">
        <v>7527</v>
      </c>
      <c r="C7886" s="10" t="s">
        <v>7528</v>
      </c>
      <c r="D7886" s="10" t="s">
        <v>30</v>
      </c>
      <c r="E7886" s="10" t="str">
        <f>"644020240512114345168950"</f>
        <v>644020240512114345168950</v>
      </c>
      <c r="F7886" s="9"/>
    </row>
    <row r="7887" s="2" customFormat="1" ht="30" customHeight="1" spans="1:6">
      <c r="A7887" s="9">
        <v>7884</v>
      </c>
      <c r="B7887" s="10" t="s">
        <v>7527</v>
      </c>
      <c r="C7887" s="10" t="s">
        <v>7528</v>
      </c>
      <c r="D7887" s="10" t="s">
        <v>7547</v>
      </c>
      <c r="E7887" s="10" t="str">
        <f>"644020240512144940169614"</f>
        <v>644020240512144940169614</v>
      </c>
      <c r="F7887" s="9"/>
    </row>
    <row r="7888" s="2" customFormat="1" ht="30" customHeight="1" spans="1:6">
      <c r="A7888" s="9">
        <v>7885</v>
      </c>
      <c r="B7888" s="10" t="s">
        <v>7527</v>
      </c>
      <c r="C7888" s="10" t="s">
        <v>7528</v>
      </c>
      <c r="D7888" s="10" t="s">
        <v>1911</v>
      </c>
      <c r="E7888" s="10" t="str">
        <f>"644020240512204935170932"</f>
        <v>644020240512204935170932</v>
      </c>
      <c r="F7888" s="9"/>
    </row>
    <row r="7889" s="2" customFormat="1" ht="30" customHeight="1" spans="1:6">
      <c r="A7889" s="9">
        <v>7886</v>
      </c>
      <c r="B7889" s="10" t="s">
        <v>7527</v>
      </c>
      <c r="C7889" s="10" t="s">
        <v>7528</v>
      </c>
      <c r="D7889" s="10" t="s">
        <v>7548</v>
      </c>
      <c r="E7889" s="10" t="str">
        <f>"644020240512194241170646"</f>
        <v>644020240512194241170646</v>
      </c>
      <c r="F7889" s="9"/>
    </row>
    <row r="7890" s="2" customFormat="1" ht="30" customHeight="1" spans="1:6">
      <c r="A7890" s="9">
        <v>7887</v>
      </c>
      <c r="B7890" s="10" t="s">
        <v>7527</v>
      </c>
      <c r="C7890" s="10" t="s">
        <v>7528</v>
      </c>
      <c r="D7890" s="10" t="s">
        <v>7549</v>
      </c>
      <c r="E7890" s="10" t="str">
        <f>"644020240512215647171305"</f>
        <v>644020240512215647171305</v>
      </c>
      <c r="F7890" s="9"/>
    </row>
    <row r="7891" s="2" customFormat="1" ht="30" customHeight="1" spans="1:6">
      <c r="A7891" s="9">
        <v>7888</v>
      </c>
      <c r="B7891" s="10" t="s">
        <v>7527</v>
      </c>
      <c r="C7891" s="10" t="s">
        <v>7528</v>
      </c>
      <c r="D7891" s="10" t="s">
        <v>7550</v>
      </c>
      <c r="E7891" s="10" t="str">
        <f>"644020240512223316171514"</f>
        <v>644020240512223316171514</v>
      </c>
      <c r="F7891" s="9"/>
    </row>
    <row r="7892" s="2" customFormat="1" ht="30" customHeight="1" spans="1:6">
      <c r="A7892" s="9">
        <v>7889</v>
      </c>
      <c r="B7892" s="10" t="s">
        <v>7527</v>
      </c>
      <c r="C7892" s="10" t="s">
        <v>7528</v>
      </c>
      <c r="D7892" s="10" t="s">
        <v>7551</v>
      </c>
      <c r="E7892" s="10" t="str">
        <f>"644020240512221458171410"</f>
        <v>644020240512221458171410</v>
      </c>
      <c r="F7892" s="9"/>
    </row>
    <row r="7893" s="2" customFormat="1" ht="30" customHeight="1" spans="1:6">
      <c r="A7893" s="9">
        <v>7890</v>
      </c>
      <c r="B7893" s="10" t="s">
        <v>7527</v>
      </c>
      <c r="C7893" s="10" t="s">
        <v>7528</v>
      </c>
      <c r="D7893" s="10" t="s">
        <v>7552</v>
      </c>
      <c r="E7893" s="10" t="str">
        <f>"644020240512233433171836"</f>
        <v>644020240512233433171836</v>
      </c>
      <c r="F7893" s="9"/>
    </row>
    <row r="7894" s="2" customFormat="1" ht="30" customHeight="1" spans="1:6">
      <c r="A7894" s="9">
        <v>7891</v>
      </c>
      <c r="B7894" s="10" t="s">
        <v>7527</v>
      </c>
      <c r="C7894" s="10" t="s">
        <v>7528</v>
      </c>
      <c r="D7894" s="10" t="s">
        <v>7553</v>
      </c>
      <c r="E7894" s="10" t="str">
        <f>"644020240512235203171893"</f>
        <v>644020240512235203171893</v>
      </c>
      <c r="F7894" s="9"/>
    </row>
    <row r="7895" s="2" customFormat="1" ht="30" customHeight="1" spans="1:6">
      <c r="A7895" s="9">
        <v>7892</v>
      </c>
      <c r="B7895" s="10" t="s">
        <v>7527</v>
      </c>
      <c r="C7895" s="10" t="s">
        <v>7528</v>
      </c>
      <c r="D7895" s="10" t="s">
        <v>3499</v>
      </c>
      <c r="E7895" s="10" t="str">
        <f>"644020240512224159171563"</f>
        <v>644020240512224159171563</v>
      </c>
      <c r="F7895" s="9"/>
    </row>
    <row r="7896" s="2" customFormat="1" ht="30" customHeight="1" spans="1:6">
      <c r="A7896" s="9">
        <v>7893</v>
      </c>
      <c r="B7896" s="10" t="s">
        <v>7527</v>
      </c>
      <c r="C7896" s="10" t="s">
        <v>7528</v>
      </c>
      <c r="D7896" s="10" t="s">
        <v>7554</v>
      </c>
      <c r="E7896" s="10" t="str">
        <f>"644020240513041043172082"</f>
        <v>644020240513041043172082</v>
      </c>
      <c r="F7896" s="9"/>
    </row>
    <row r="7897" s="2" customFormat="1" ht="30" customHeight="1" spans="1:6">
      <c r="A7897" s="9">
        <v>7894</v>
      </c>
      <c r="B7897" s="10" t="s">
        <v>7527</v>
      </c>
      <c r="C7897" s="10" t="s">
        <v>7528</v>
      </c>
      <c r="D7897" s="10" t="s">
        <v>4685</v>
      </c>
      <c r="E7897" s="10" t="str">
        <f>"644020240513084605172390"</f>
        <v>644020240513084605172390</v>
      </c>
      <c r="F7897" s="9"/>
    </row>
    <row r="7898" s="2" customFormat="1" ht="30" customHeight="1" spans="1:6">
      <c r="A7898" s="9">
        <v>7895</v>
      </c>
      <c r="B7898" s="10" t="s">
        <v>7527</v>
      </c>
      <c r="C7898" s="10" t="s">
        <v>7528</v>
      </c>
      <c r="D7898" s="10" t="s">
        <v>7555</v>
      </c>
      <c r="E7898" s="10" t="str">
        <f>"644020240512090212168101"</f>
        <v>644020240512090212168101</v>
      </c>
      <c r="F7898" s="9"/>
    </row>
    <row r="7899" s="2" customFormat="1" ht="30" customHeight="1" spans="1:6">
      <c r="A7899" s="9">
        <v>7896</v>
      </c>
      <c r="B7899" s="10" t="s">
        <v>7527</v>
      </c>
      <c r="C7899" s="10" t="s">
        <v>7528</v>
      </c>
      <c r="D7899" s="10" t="s">
        <v>7556</v>
      </c>
      <c r="E7899" s="10" t="str">
        <f>"644020240513093927172903"</f>
        <v>644020240513093927172903</v>
      </c>
      <c r="F7899" s="9"/>
    </row>
    <row r="7900" s="2" customFormat="1" ht="30" customHeight="1" spans="1:6">
      <c r="A7900" s="9">
        <v>7897</v>
      </c>
      <c r="B7900" s="10" t="s">
        <v>7527</v>
      </c>
      <c r="C7900" s="10" t="s">
        <v>7528</v>
      </c>
      <c r="D7900" s="10" t="s">
        <v>7557</v>
      </c>
      <c r="E7900" s="10" t="str">
        <f>"644020240513090939172591"</f>
        <v>644020240513090939172591</v>
      </c>
      <c r="F7900" s="9"/>
    </row>
    <row r="7901" s="2" customFormat="1" ht="30" customHeight="1" spans="1:6">
      <c r="A7901" s="9">
        <v>7898</v>
      </c>
      <c r="B7901" s="10" t="s">
        <v>7527</v>
      </c>
      <c r="C7901" s="10" t="s">
        <v>7528</v>
      </c>
      <c r="D7901" s="10" t="s">
        <v>7558</v>
      </c>
      <c r="E7901" s="10" t="str">
        <f>"644020240513091137172608"</f>
        <v>644020240513091137172608</v>
      </c>
      <c r="F7901" s="9"/>
    </row>
    <row r="7902" s="2" customFormat="1" ht="30" customHeight="1" spans="1:6">
      <c r="A7902" s="9">
        <v>7899</v>
      </c>
      <c r="B7902" s="10" t="s">
        <v>7527</v>
      </c>
      <c r="C7902" s="10" t="s">
        <v>7528</v>
      </c>
      <c r="D7902" s="10" t="s">
        <v>7559</v>
      </c>
      <c r="E7902" s="10" t="str">
        <f>"644020240513095639173087"</f>
        <v>644020240513095639173087</v>
      </c>
      <c r="F7902" s="9"/>
    </row>
    <row r="7903" s="2" customFormat="1" ht="30" customHeight="1" spans="1:6">
      <c r="A7903" s="9">
        <v>7900</v>
      </c>
      <c r="B7903" s="10" t="s">
        <v>7527</v>
      </c>
      <c r="C7903" s="10" t="s">
        <v>7528</v>
      </c>
      <c r="D7903" s="10" t="s">
        <v>7560</v>
      </c>
      <c r="E7903" s="10" t="str">
        <f>"644020240512172818170206"</f>
        <v>644020240512172818170206</v>
      </c>
      <c r="F7903" s="9"/>
    </row>
    <row r="7904" s="2" customFormat="1" ht="30" customHeight="1" spans="1:6">
      <c r="A7904" s="9">
        <v>7901</v>
      </c>
      <c r="B7904" s="10" t="s">
        <v>7527</v>
      </c>
      <c r="C7904" s="10" t="s">
        <v>7528</v>
      </c>
      <c r="D7904" s="10" t="s">
        <v>7561</v>
      </c>
      <c r="E7904" s="10" t="str">
        <f>"644020240512105937168720"</f>
        <v>644020240512105937168720</v>
      </c>
      <c r="F7904" s="9"/>
    </row>
    <row r="7905" s="2" customFormat="1" ht="30" customHeight="1" spans="1:6">
      <c r="A7905" s="9">
        <v>7902</v>
      </c>
      <c r="B7905" s="10" t="s">
        <v>7527</v>
      </c>
      <c r="C7905" s="10" t="s">
        <v>7528</v>
      </c>
      <c r="D7905" s="10" t="s">
        <v>7562</v>
      </c>
      <c r="E7905" s="10" t="str">
        <f>"644020240513095902173110"</f>
        <v>644020240513095902173110</v>
      </c>
      <c r="F7905" s="9"/>
    </row>
    <row r="7906" s="2" customFormat="1" ht="30" customHeight="1" spans="1:6">
      <c r="A7906" s="9">
        <v>7903</v>
      </c>
      <c r="B7906" s="10" t="s">
        <v>7527</v>
      </c>
      <c r="C7906" s="10" t="s">
        <v>7528</v>
      </c>
      <c r="D7906" s="10" t="s">
        <v>7563</v>
      </c>
      <c r="E7906" s="10" t="str">
        <f>"644020240513103533173472"</f>
        <v>644020240513103533173472</v>
      </c>
      <c r="F7906" s="9"/>
    </row>
    <row r="7907" s="2" customFormat="1" ht="30" customHeight="1" spans="1:6">
      <c r="A7907" s="9">
        <v>7904</v>
      </c>
      <c r="B7907" s="10" t="s">
        <v>7527</v>
      </c>
      <c r="C7907" s="10" t="s">
        <v>7528</v>
      </c>
      <c r="D7907" s="10" t="s">
        <v>7564</v>
      </c>
      <c r="E7907" s="10" t="str">
        <f>"644020240513090950172593"</f>
        <v>644020240513090950172593</v>
      </c>
      <c r="F7907" s="9"/>
    </row>
    <row r="7908" s="2" customFormat="1" ht="30" customHeight="1" spans="1:6">
      <c r="A7908" s="9">
        <v>7905</v>
      </c>
      <c r="B7908" s="10" t="s">
        <v>7527</v>
      </c>
      <c r="C7908" s="10" t="s">
        <v>7528</v>
      </c>
      <c r="D7908" s="10" t="s">
        <v>7565</v>
      </c>
      <c r="E7908" s="10" t="str">
        <f>"644020240513095808173099"</f>
        <v>644020240513095808173099</v>
      </c>
      <c r="F7908" s="9"/>
    </row>
    <row r="7909" s="2" customFormat="1" ht="30" customHeight="1" spans="1:6">
      <c r="A7909" s="9">
        <v>7906</v>
      </c>
      <c r="B7909" s="10" t="s">
        <v>7527</v>
      </c>
      <c r="C7909" s="10" t="s">
        <v>7528</v>
      </c>
      <c r="D7909" s="10" t="s">
        <v>608</v>
      </c>
      <c r="E7909" s="10" t="str">
        <f>"644020240513112628173935"</f>
        <v>644020240513112628173935</v>
      </c>
      <c r="F7909" s="9"/>
    </row>
    <row r="7910" s="2" customFormat="1" ht="30" customHeight="1" spans="1:6">
      <c r="A7910" s="9">
        <v>7907</v>
      </c>
      <c r="B7910" s="10" t="s">
        <v>7527</v>
      </c>
      <c r="C7910" s="10" t="s">
        <v>7528</v>
      </c>
      <c r="D7910" s="10" t="s">
        <v>7566</v>
      </c>
      <c r="E7910" s="10" t="str">
        <f>"644020240513113320173985"</f>
        <v>644020240513113320173985</v>
      </c>
      <c r="F7910" s="9"/>
    </row>
    <row r="7911" s="2" customFormat="1" ht="30" customHeight="1" spans="1:6">
      <c r="A7911" s="9">
        <v>7908</v>
      </c>
      <c r="B7911" s="10" t="s">
        <v>7527</v>
      </c>
      <c r="C7911" s="10" t="s">
        <v>7528</v>
      </c>
      <c r="D7911" s="10" t="s">
        <v>7567</v>
      </c>
      <c r="E7911" s="10" t="str">
        <f>"644020240513091649172663"</f>
        <v>644020240513091649172663</v>
      </c>
      <c r="F7911" s="9"/>
    </row>
    <row r="7912" s="2" customFormat="1" ht="30" customHeight="1" spans="1:6">
      <c r="A7912" s="9">
        <v>7909</v>
      </c>
      <c r="B7912" s="10" t="s">
        <v>7527</v>
      </c>
      <c r="C7912" s="10" t="s">
        <v>7528</v>
      </c>
      <c r="D7912" s="10" t="s">
        <v>7568</v>
      </c>
      <c r="E7912" s="10" t="str">
        <f>"644020240513113132173971"</f>
        <v>644020240513113132173971</v>
      </c>
      <c r="F7912" s="9"/>
    </row>
    <row r="7913" s="2" customFormat="1" ht="30" customHeight="1" spans="1:6">
      <c r="A7913" s="9">
        <v>7910</v>
      </c>
      <c r="B7913" s="10" t="s">
        <v>7527</v>
      </c>
      <c r="C7913" s="10" t="s">
        <v>7528</v>
      </c>
      <c r="D7913" s="10" t="s">
        <v>7569</v>
      </c>
      <c r="E7913" s="10" t="str">
        <f>"644020240513125224174457"</f>
        <v>644020240513125224174457</v>
      </c>
      <c r="F7913" s="9"/>
    </row>
    <row r="7914" s="2" customFormat="1" ht="30" customHeight="1" spans="1:6">
      <c r="A7914" s="9">
        <v>7911</v>
      </c>
      <c r="B7914" s="10" t="s">
        <v>7527</v>
      </c>
      <c r="C7914" s="10" t="s">
        <v>7528</v>
      </c>
      <c r="D7914" s="10" t="s">
        <v>7570</v>
      </c>
      <c r="E7914" s="10" t="str">
        <f>"644020240513124714174418"</f>
        <v>644020240513124714174418</v>
      </c>
      <c r="F7914" s="9"/>
    </row>
    <row r="7915" s="2" customFormat="1" ht="30" customHeight="1" spans="1:6">
      <c r="A7915" s="9">
        <v>7912</v>
      </c>
      <c r="B7915" s="10" t="s">
        <v>7527</v>
      </c>
      <c r="C7915" s="10" t="s">
        <v>7528</v>
      </c>
      <c r="D7915" s="10" t="s">
        <v>7571</v>
      </c>
      <c r="E7915" s="10" t="str">
        <f>"644020240512104227168633"</f>
        <v>644020240512104227168633</v>
      </c>
      <c r="F7915" s="9"/>
    </row>
    <row r="7916" s="2" customFormat="1" ht="30" customHeight="1" spans="1:6">
      <c r="A7916" s="9">
        <v>7913</v>
      </c>
      <c r="B7916" s="10" t="s">
        <v>7527</v>
      </c>
      <c r="C7916" s="10" t="s">
        <v>7528</v>
      </c>
      <c r="D7916" s="10" t="s">
        <v>7572</v>
      </c>
      <c r="E7916" s="10" t="str">
        <f>"644020240513144855175103"</f>
        <v>644020240513144855175103</v>
      </c>
      <c r="F7916" s="9"/>
    </row>
    <row r="7917" s="2" customFormat="1" ht="30" customHeight="1" spans="1:6">
      <c r="A7917" s="9">
        <v>7914</v>
      </c>
      <c r="B7917" s="10" t="s">
        <v>7527</v>
      </c>
      <c r="C7917" s="10" t="s">
        <v>7528</v>
      </c>
      <c r="D7917" s="10" t="s">
        <v>7573</v>
      </c>
      <c r="E7917" s="10" t="str">
        <f>"644020240513144604175080"</f>
        <v>644020240513144604175080</v>
      </c>
      <c r="F7917" s="9"/>
    </row>
    <row r="7918" s="2" customFormat="1" ht="30" customHeight="1" spans="1:6">
      <c r="A7918" s="9">
        <v>7915</v>
      </c>
      <c r="B7918" s="10" t="s">
        <v>7527</v>
      </c>
      <c r="C7918" s="10" t="s">
        <v>7528</v>
      </c>
      <c r="D7918" s="10" t="s">
        <v>7574</v>
      </c>
      <c r="E7918" s="10" t="str">
        <f>"644020240513110622173748"</f>
        <v>644020240513110622173748</v>
      </c>
      <c r="F7918" s="9"/>
    </row>
    <row r="7919" s="2" customFormat="1" ht="30" customHeight="1" spans="1:6">
      <c r="A7919" s="9">
        <v>7916</v>
      </c>
      <c r="B7919" s="10" t="s">
        <v>7527</v>
      </c>
      <c r="C7919" s="10" t="s">
        <v>7528</v>
      </c>
      <c r="D7919" s="10" t="s">
        <v>7575</v>
      </c>
      <c r="E7919" s="10" t="str">
        <f>"644020240513151955175365"</f>
        <v>644020240513151955175365</v>
      </c>
      <c r="F7919" s="9"/>
    </row>
    <row r="7920" s="2" customFormat="1" ht="30" customHeight="1" spans="1:6">
      <c r="A7920" s="9">
        <v>7917</v>
      </c>
      <c r="B7920" s="10" t="s">
        <v>7527</v>
      </c>
      <c r="C7920" s="10" t="s">
        <v>7528</v>
      </c>
      <c r="D7920" s="10" t="s">
        <v>7576</v>
      </c>
      <c r="E7920" s="10" t="str">
        <f>"644020240513151724175347"</f>
        <v>644020240513151724175347</v>
      </c>
      <c r="F7920" s="9"/>
    </row>
    <row r="7921" s="2" customFormat="1" ht="30" customHeight="1" spans="1:6">
      <c r="A7921" s="9">
        <v>7918</v>
      </c>
      <c r="B7921" s="10" t="s">
        <v>7527</v>
      </c>
      <c r="C7921" s="10" t="s">
        <v>7528</v>
      </c>
      <c r="D7921" s="10" t="s">
        <v>7577</v>
      </c>
      <c r="E7921" s="10" t="str">
        <f>"644020240513114639174068"</f>
        <v>644020240513114639174068</v>
      </c>
      <c r="F7921" s="9"/>
    </row>
    <row r="7922" s="2" customFormat="1" ht="30" customHeight="1" spans="1:6">
      <c r="A7922" s="9">
        <v>7919</v>
      </c>
      <c r="B7922" s="10" t="s">
        <v>7527</v>
      </c>
      <c r="C7922" s="10" t="s">
        <v>7528</v>
      </c>
      <c r="D7922" s="10" t="s">
        <v>7578</v>
      </c>
      <c r="E7922" s="10" t="str">
        <f>"644020240512141238169495"</f>
        <v>644020240512141238169495</v>
      </c>
      <c r="F7922" s="9"/>
    </row>
    <row r="7923" s="2" customFormat="1" ht="30" customHeight="1" spans="1:6">
      <c r="A7923" s="9">
        <v>7920</v>
      </c>
      <c r="B7923" s="10" t="s">
        <v>7527</v>
      </c>
      <c r="C7923" s="10" t="s">
        <v>7528</v>
      </c>
      <c r="D7923" s="10" t="s">
        <v>7579</v>
      </c>
      <c r="E7923" s="10" t="str">
        <f>"644020240513100300173134"</f>
        <v>644020240513100300173134</v>
      </c>
      <c r="F7923" s="9"/>
    </row>
    <row r="7924" s="2" customFormat="1" ht="30" customHeight="1" spans="1:6">
      <c r="A7924" s="9">
        <v>7921</v>
      </c>
      <c r="B7924" s="10" t="s">
        <v>7527</v>
      </c>
      <c r="C7924" s="10" t="s">
        <v>7528</v>
      </c>
      <c r="D7924" s="10" t="s">
        <v>7580</v>
      </c>
      <c r="E7924" s="10" t="str">
        <f>"644020240513152156175390"</f>
        <v>644020240513152156175390</v>
      </c>
      <c r="F7924" s="9"/>
    </row>
    <row r="7925" s="2" customFormat="1" ht="30" customHeight="1" spans="1:6">
      <c r="A7925" s="9">
        <v>7922</v>
      </c>
      <c r="B7925" s="10" t="s">
        <v>7527</v>
      </c>
      <c r="C7925" s="10" t="s">
        <v>7528</v>
      </c>
      <c r="D7925" s="10" t="s">
        <v>7581</v>
      </c>
      <c r="E7925" s="10" t="str">
        <f>"644020240513155250175714"</f>
        <v>644020240513155250175714</v>
      </c>
      <c r="F7925" s="9"/>
    </row>
    <row r="7926" s="2" customFormat="1" ht="30" customHeight="1" spans="1:6">
      <c r="A7926" s="9">
        <v>7923</v>
      </c>
      <c r="B7926" s="10" t="s">
        <v>7527</v>
      </c>
      <c r="C7926" s="10" t="s">
        <v>7528</v>
      </c>
      <c r="D7926" s="10" t="s">
        <v>7582</v>
      </c>
      <c r="E7926" s="10" t="str">
        <f>"644020240513153954175566"</f>
        <v>644020240513153954175566</v>
      </c>
      <c r="F7926" s="9"/>
    </row>
    <row r="7927" s="2" customFormat="1" ht="30" customHeight="1" spans="1:6">
      <c r="A7927" s="9">
        <v>7924</v>
      </c>
      <c r="B7927" s="10" t="s">
        <v>7527</v>
      </c>
      <c r="C7927" s="10" t="s">
        <v>7528</v>
      </c>
      <c r="D7927" s="10" t="s">
        <v>7583</v>
      </c>
      <c r="E7927" s="10" t="str">
        <f>"644020240513154730175646"</f>
        <v>644020240513154730175646</v>
      </c>
      <c r="F7927" s="9"/>
    </row>
    <row r="7928" s="2" customFormat="1" ht="30" customHeight="1" spans="1:6">
      <c r="A7928" s="9">
        <v>7925</v>
      </c>
      <c r="B7928" s="10" t="s">
        <v>7527</v>
      </c>
      <c r="C7928" s="10" t="s">
        <v>7528</v>
      </c>
      <c r="D7928" s="10" t="s">
        <v>7584</v>
      </c>
      <c r="E7928" s="10" t="str">
        <f>"644020240513153533175523"</f>
        <v>644020240513153533175523</v>
      </c>
      <c r="F7928" s="9"/>
    </row>
    <row r="7929" s="2" customFormat="1" ht="30" customHeight="1" spans="1:6">
      <c r="A7929" s="9">
        <v>7926</v>
      </c>
      <c r="B7929" s="10" t="s">
        <v>7527</v>
      </c>
      <c r="C7929" s="10" t="s">
        <v>7528</v>
      </c>
      <c r="D7929" s="10" t="s">
        <v>7585</v>
      </c>
      <c r="E7929" s="10" t="str">
        <f>"644020240513160507175813"</f>
        <v>644020240513160507175813</v>
      </c>
      <c r="F7929" s="9"/>
    </row>
    <row r="7930" s="2" customFormat="1" ht="30" customHeight="1" spans="1:6">
      <c r="A7930" s="9">
        <v>7927</v>
      </c>
      <c r="B7930" s="10" t="s">
        <v>7527</v>
      </c>
      <c r="C7930" s="10" t="s">
        <v>7528</v>
      </c>
      <c r="D7930" s="10" t="s">
        <v>7586</v>
      </c>
      <c r="E7930" s="10" t="str">
        <f>"644020240513160739175830"</f>
        <v>644020240513160739175830</v>
      </c>
      <c r="F7930" s="9"/>
    </row>
    <row r="7931" s="2" customFormat="1" ht="30" customHeight="1" spans="1:6">
      <c r="A7931" s="9">
        <v>7928</v>
      </c>
      <c r="B7931" s="10" t="s">
        <v>7527</v>
      </c>
      <c r="C7931" s="10" t="s">
        <v>7528</v>
      </c>
      <c r="D7931" s="10" t="s">
        <v>7587</v>
      </c>
      <c r="E7931" s="10" t="str">
        <f>"644020240513161805175880"</f>
        <v>644020240513161805175880</v>
      </c>
      <c r="F7931" s="9"/>
    </row>
    <row r="7932" s="2" customFormat="1" ht="30" customHeight="1" spans="1:6">
      <c r="A7932" s="9">
        <v>7929</v>
      </c>
      <c r="B7932" s="10" t="s">
        <v>7527</v>
      </c>
      <c r="C7932" s="10" t="s">
        <v>7528</v>
      </c>
      <c r="D7932" s="10" t="s">
        <v>7588</v>
      </c>
      <c r="E7932" s="10" t="str">
        <f>"644020240513112431173918"</f>
        <v>644020240513112431173918</v>
      </c>
      <c r="F7932" s="9"/>
    </row>
    <row r="7933" s="2" customFormat="1" ht="30" customHeight="1" spans="1:6">
      <c r="A7933" s="9">
        <v>7930</v>
      </c>
      <c r="B7933" s="10" t="s">
        <v>7527</v>
      </c>
      <c r="C7933" s="10" t="s">
        <v>7528</v>
      </c>
      <c r="D7933" s="10" t="s">
        <v>7589</v>
      </c>
      <c r="E7933" s="10" t="str">
        <f>"644020240513163640175975"</f>
        <v>644020240513163640175975</v>
      </c>
      <c r="F7933" s="9"/>
    </row>
    <row r="7934" s="2" customFormat="1" ht="30" customHeight="1" spans="1:6">
      <c r="A7934" s="9">
        <v>7931</v>
      </c>
      <c r="B7934" s="10" t="s">
        <v>7527</v>
      </c>
      <c r="C7934" s="10" t="s">
        <v>7528</v>
      </c>
      <c r="D7934" s="10" t="s">
        <v>7590</v>
      </c>
      <c r="E7934" s="10" t="str">
        <f>"644020240513164454176020"</f>
        <v>644020240513164454176020</v>
      </c>
      <c r="F7934" s="9"/>
    </row>
    <row r="7935" s="2" customFormat="1" ht="30" customHeight="1" spans="1:6">
      <c r="A7935" s="9">
        <v>7932</v>
      </c>
      <c r="B7935" s="10" t="s">
        <v>7527</v>
      </c>
      <c r="C7935" s="10" t="s">
        <v>7528</v>
      </c>
      <c r="D7935" s="10" t="s">
        <v>7591</v>
      </c>
      <c r="E7935" s="10" t="str">
        <f>"644020240513171414176158"</f>
        <v>644020240513171414176158</v>
      </c>
      <c r="F7935" s="9"/>
    </row>
    <row r="7936" s="2" customFormat="1" ht="30" customHeight="1" spans="1:6">
      <c r="A7936" s="9">
        <v>7933</v>
      </c>
      <c r="B7936" s="10" t="s">
        <v>7527</v>
      </c>
      <c r="C7936" s="10" t="s">
        <v>7528</v>
      </c>
      <c r="D7936" s="10" t="s">
        <v>7592</v>
      </c>
      <c r="E7936" s="10" t="str">
        <f>"644020240513180118176350"</f>
        <v>644020240513180118176350</v>
      </c>
      <c r="F7936" s="9"/>
    </row>
    <row r="7937" s="2" customFormat="1" ht="30" customHeight="1" spans="1:6">
      <c r="A7937" s="9">
        <v>7934</v>
      </c>
      <c r="B7937" s="10" t="s">
        <v>7527</v>
      </c>
      <c r="C7937" s="10" t="s">
        <v>7528</v>
      </c>
      <c r="D7937" s="10" t="s">
        <v>7593</v>
      </c>
      <c r="E7937" s="10" t="str">
        <f>"644020240513175938176341"</f>
        <v>644020240513175938176341</v>
      </c>
      <c r="F7937" s="9"/>
    </row>
    <row r="7938" s="2" customFormat="1" ht="30" customHeight="1" spans="1:6">
      <c r="A7938" s="9">
        <v>7935</v>
      </c>
      <c r="B7938" s="10" t="s">
        <v>7527</v>
      </c>
      <c r="C7938" s="10" t="s">
        <v>7528</v>
      </c>
      <c r="D7938" s="10" t="s">
        <v>7594</v>
      </c>
      <c r="E7938" s="10" t="str">
        <f>"644020240512095301168339"</f>
        <v>644020240512095301168339</v>
      </c>
      <c r="F7938" s="9"/>
    </row>
    <row r="7939" s="2" customFormat="1" ht="30" customHeight="1" spans="1:6">
      <c r="A7939" s="9">
        <v>7936</v>
      </c>
      <c r="B7939" s="10" t="s">
        <v>7527</v>
      </c>
      <c r="C7939" s="10" t="s">
        <v>7528</v>
      </c>
      <c r="D7939" s="10" t="s">
        <v>7595</v>
      </c>
      <c r="E7939" s="10" t="str">
        <f>"644020240513193515176638"</f>
        <v>644020240513193515176638</v>
      </c>
      <c r="F7939" s="9"/>
    </row>
    <row r="7940" s="2" customFormat="1" ht="30" customHeight="1" spans="1:6">
      <c r="A7940" s="9">
        <v>7937</v>
      </c>
      <c r="B7940" s="10" t="s">
        <v>7527</v>
      </c>
      <c r="C7940" s="10" t="s">
        <v>7528</v>
      </c>
      <c r="D7940" s="10" t="s">
        <v>7596</v>
      </c>
      <c r="E7940" s="10" t="str">
        <f>"644020240513194208176660"</f>
        <v>644020240513194208176660</v>
      </c>
      <c r="F7940" s="9"/>
    </row>
    <row r="7941" s="2" customFormat="1" ht="30" customHeight="1" spans="1:6">
      <c r="A7941" s="9">
        <v>7938</v>
      </c>
      <c r="B7941" s="10" t="s">
        <v>7527</v>
      </c>
      <c r="C7941" s="10" t="s">
        <v>7528</v>
      </c>
      <c r="D7941" s="10" t="s">
        <v>7597</v>
      </c>
      <c r="E7941" s="10" t="str">
        <f>"644020240513203346176845"</f>
        <v>644020240513203346176845</v>
      </c>
      <c r="F7941" s="9"/>
    </row>
    <row r="7942" s="2" customFormat="1" ht="30" customHeight="1" spans="1:6">
      <c r="A7942" s="9">
        <v>7939</v>
      </c>
      <c r="B7942" s="10" t="s">
        <v>7527</v>
      </c>
      <c r="C7942" s="10" t="s">
        <v>7528</v>
      </c>
      <c r="D7942" s="10" t="s">
        <v>7598</v>
      </c>
      <c r="E7942" s="10" t="str">
        <f>"644020240513212419177063"</f>
        <v>644020240513212419177063</v>
      </c>
      <c r="F7942" s="9"/>
    </row>
    <row r="7943" s="2" customFormat="1" ht="30" customHeight="1" spans="1:6">
      <c r="A7943" s="9">
        <v>7940</v>
      </c>
      <c r="B7943" s="10" t="s">
        <v>7527</v>
      </c>
      <c r="C7943" s="10" t="s">
        <v>7528</v>
      </c>
      <c r="D7943" s="10" t="s">
        <v>7599</v>
      </c>
      <c r="E7943" s="10" t="str">
        <f>"644020240512220745171368"</f>
        <v>644020240512220745171368</v>
      </c>
      <c r="F7943" s="9"/>
    </row>
    <row r="7944" s="2" customFormat="1" ht="30" customHeight="1" spans="1:6">
      <c r="A7944" s="9">
        <v>7941</v>
      </c>
      <c r="B7944" s="10" t="s">
        <v>7527</v>
      </c>
      <c r="C7944" s="10" t="s">
        <v>7528</v>
      </c>
      <c r="D7944" s="10" t="s">
        <v>7600</v>
      </c>
      <c r="E7944" s="10" t="str">
        <f>"644020240513195727176718"</f>
        <v>644020240513195727176718</v>
      </c>
      <c r="F7944" s="9"/>
    </row>
    <row r="7945" s="2" customFormat="1" ht="30" customHeight="1" spans="1:6">
      <c r="A7945" s="9">
        <v>7942</v>
      </c>
      <c r="B7945" s="10" t="s">
        <v>7527</v>
      </c>
      <c r="C7945" s="10" t="s">
        <v>7528</v>
      </c>
      <c r="D7945" s="10" t="s">
        <v>7601</v>
      </c>
      <c r="E7945" s="10" t="str">
        <f>"644020240513220255177237"</f>
        <v>644020240513220255177237</v>
      </c>
      <c r="F7945" s="9"/>
    </row>
    <row r="7946" s="2" customFormat="1" ht="30" customHeight="1" spans="1:6">
      <c r="A7946" s="9">
        <v>7943</v>
      </c>
      <c r="B7946" s="10" t="s">
        <v>7527</v>
      </c>
      <c r="C7946" s="10" t="s">
        <v>7528</v>
      </c>
      <c r="D7946" s="10" t="s">
        <v>7602</v>
      </c>
      <c r="E7946" s="10" t="str">
        <f>"644020240513221608177305"</f>
        <v>644020240513221608177305</v>
      </c>
      <c r="F7946" s="9"/>
    </row>
    <row r="7947" s="2" customFormat="1" ht="30" customHeight="1" spans="1:6">
      <c r="A7947" s="9">
        <v>7944</v>
      </c>
      <c r="B7947" s="10" t="s">
        <v>7527</v>
      </c>
      <c r="C7947" s="10" t="s">
        <v>7528</v>
      </c>
      <c r="D7947" s="10" t="s">
        <v>7603</v>
      </c>
      <c r="E7947" s="10" t="str">
        <f>"644020240513185040176480"</f>
        <v>644020240513185040176480</v>
      </c>
      <c r="F7947" s="9"/>
    </row>
    <row r="7948" s="2" customFormat="1" ht="30" customHeight="1" spans="1:6">
      <c r="A7948" s="9">
        <v>7945</v>
      </c>
      <c r="B7948" s="10" t="s">
        <v>7527</v>
      </c>
      <c r="C7948" s="10" t="s">
        <v>7528</v>
      </c>
      <c r="D7948" s="10" t="s">
        <v>7604</v>
      </c>
      <c r="E7948" s="10" t="str">
        <f>"644020240513213017177092"</f>
        <v>644020240513213017177092</v>
      </c>
      <c r="F7948" s="9"/>
    </row>
    <row r="7949" s="2" customFormat="1" ht="30" customHeight="1" spans="1:6">
      <c r="A7949" s="9">
        <v>7946</v>
      </c>
      <c r="B7949" s="10" t="s">
        <v>7527</v>
      </c>
      <c r="C7949" s="10" t="s">
        <v>7528</v>
      </c>
      <c r="D7949" s="10" t="s">
        <v>7605</v>
      </c>
      <c r="E7949" s="10" t="str">
        <f>"644020240513163317175953"</f>
        <v>644020240513163317175953</v>
      </c>
      <c r="F7949" s="9"/>
    </row>
    <row r="7950" s="2" customFormat="1" ht="30" customHeight="1" spans="1:6">
      <c r="A7950" s="9">
        <v>7947</v>
      </c>
      <c r="B7950" s="10" t="s">
        <v>7527</v>
      </c>
      <c r="C7950" s="10" t="s">
        <v>7528</v>
      </c>
      <c r="D7950" s="10" t="s">
        <v>7606</v>
      </c>
      <c r="E7950" s="10" t="str">
        <f>"644020240513225113177457"</f>
        <v>644020240513225113177457</v>
      </c>
      <c r="F7950" s="9"/>
    </row>
    <row r="7951" s="2" customFormat="1" ht="30" customHeight="1" spans="1:6">
      <c r="A7951" s="9">
        <v>7948</v>
      </c>
      <c r="B7951" s="10" t="s">
        <v>7527</v>
      </c>
      <c r="C7951" s="10" t="s">
        <v>7528</v>
      </c>
      <c r="D7951" s="10" t="s">
        <v>7607</v>
      </c>
      <c r="E7951" s="10" t="str">
        <f>"644020240512201852170792"</f>
        <v>644020240512201852170792</v>
      </c>
      <c r="F7951" s="9"/>
    </row>
    <row r="7952" s="2" customFormat="1" ht="30" customHeight="1" spans="1:6">
      <c r="A7952" s="9">
        <v>7949</v>
      </c>
      <c r="B7952" s="10" t="s">
        <v>7527</v>
      </c>
      <c r="C7952" s="10" t="s">
        <v>7528</v>
      </c>
      <c r="D7952" s="10" t="s">
        <v>7608</v>
      </c>
      <c r="E7952" s="10" t="str">
        <f>"644020240513224449177425"</f>
        <v>644020240513224449177425</v>
      </c>
      <c r="F7952" s="9"/>
    </row>
    <row r="7953" s="2" customFormat="1" ht="30" customHeight="1" spans="1:6">
      <c r="A7953" s="9">
        <v>7950</v>
      </c>
      <c r="B7953" s="10" t="s">
        <v>7527</v>
      </c>
      <c r="C7953" s="10" t="s">
        <v>7528</v>
      </c>
      <c r="D7953" s="10" t="s">
        <v>7609</v>
      </c>
      <c r="E7953" s="10" t="str">
        <f>"644020240513080641172204"</f>
        <v>644020240513080641172204</v>
      </c>
      <c r="F7953" s="9"/>
    </row>
    <row r="7954" s="2" customFormat="1" ht="30" customHeight="1" spans="1:6">
      <c r="A7954" s="9">
        <v>7951</v>
      </c>
      <c r="B7954" s="10" t="s">
        <v>7527</v>
      </c>
      <c r="C7954" s="10" t="s">
        <v>7528</v>
      </c>
      <c r="D7954" s="10" t="s">
        <v>7610</v>
      </c>
      <c r="E7954" s="10" t="str">
        <f>"644020240513230209177500"</f>
        <v>644020240513230209177500</v>
      </c>
      <c r="F7954" s="9"/>
    </row>
    <row r="7955" s="2" customFormat="1" ht="30" customHeight="1" spans="1:6">
      <c r="A7955" s="9">
        <v>7952</v>
      </c>
      <c r="B7955" s="10" t="s">
        <v>7527</v>
      </c>
      <c r="C7955" s="10" t="s">
        <v>7528</v>
      </c>
      <c r="D7955" s="10" t="s">
        <v>7611</v>
      </c>
      <c r="E7955" s="10" t="str">
        <f>"644020240513104627173571"</f>
        <v>644020240513104627173571</v>
      </c>
      <c r="F7955" s="9"/>
    </row>
    <row r="7956" s="2" customFormat="1" ht="30" customHeight="1" spans="1:6">
      <c r="A7956" s="9">
        <v>7953</v>
      </c>
      <c r="B7956" s="10" t="s">
        <v>7527</v>
      </c>
      <c r="C7956" s="10" t="s">
        <v>7528</v>
      </c>
      <c r="D7956" s="10" t="s">
        <v>7612</v>
      </c>
      <c r="E7956" s="10" t="str">
        <f>"644020240514084555177905"</f>
        <v>644020240514084555177905</v>
      </c>
      <c r="F7956" s="9"/>
    </row>
    <row r="7957" s="2" customFormat="1" ht="30" customHeight="1" spans="1:6">
      <c r="A7957" s="9">
        <v>7954</v>
      </c>
      <c r="B7957" s="10" t="s">
        <v>7527</v>
      </c>
      <c r="C7957" s="10" t="s">
        <v>7528</v>
      </c>
      <c r="D7957" s="10" t="s">
        <v>7613</v>
      </c>
      <c r="E7957" s="10" t="str">
        <f>"644020240514083813177875"</f>
        <v>644020240514083813177875</v>
      </c>
      <c r="F7957" s="9"/>
    </row>
    <row r="7958" s="2" customFormat="1" ht="30" customHeight="1" spans="1:6">
      <c r="A7958" s="9">
        <v>7955</v>
      </c>
      <c r="B7958" s="10" t="s">
        <v>7527</v>
      </c>
      <c r="C7958" s="10" t="s">
        <v>7528</v>
      </c>
      <c r="D7958" s="10" t="s">
        <v>7614</v>
      </c>
      <c r="E7958" s="10" t="str">
        <f>"644020240513164608176029"</f>
        <v>644020240513164608176029</v>
      </c>
      <c r="F7958" s="9"/>
    </row>
    <row r="7959" s="2" customFormat="1" ht="30" customHeight="1" spans="1:6">
      <c r="A7959" s="9">
        <v>7956</v>
      </c>
      <c r="B7959" s="10" t="s">
        <v>7527</v>
      </c>
      <c r="C7959" s="10" t="s">
        <v>7528</v>
      </c>
      <c r="D7959" s="10" t="s">
        <v>82</v>
      </c>
      <c r="E7959" s="10" t="str">
        <f>"644020240513163602175971"</f>
        <v>644020240513163602175971</v>
      </c>
      <c r="F7959" s="9"/>
    </row>
    <row r="7960" s="2" customFormat="1" ht="30" customHeight="1" spans="1:6">
      <c r="A7960" s="9">
        <v>7957</v>
      </c>
      <c r="B7960" s="10" t="s">
        <v>7527</v>
      </c>
      <c r="C7960" s="10" t="s">
        <v>7528</v>
      </c>
      <c r="D7960" s="10" t="s">
        <v>4344</v>
      </c>
      <c r="E7960" s="10" t="str">
        <f>"644020240514092657178094"</f>
        <v>644020240514092657178094</v>
      </c>
      <c r="F7960" s="9"/>
    </row>
    <row r="7961" s="2" customFormat="1" ht="30" customHeight="1" spans="1:6">
      <c r="A7961" s="9">
        <v>7958</v>
      </c>
      <c r="B7961" s="10" t="s">
        <v>7527</v>
      </c>
      <c r="C7961" s="10" t="s">
        <v>7528</v>
      </c>
      <c r="D7961" s="10" t="s">
        <v>7615</v>
      </c>
      <c r="E7961" s="10" t="str">
        <f>"644020240513201222176770"</f>
        <v>644020240513201222176770</v>
      </c>
      <c r="F7961" s="9"/>
    </row>
    <row r="7962" s="2" customFormat="1" ht="30" customHeight="1" spans="1:6">
      <c r="A7962" s="9">
        <v>7959</v>
      </c>
      <c r="B7962" s="10" t="s">
        <v>7527</v>
      </c>
      <c r="C7962" s="10" t="s">
        <v>7528</v>
      </c>
      <c r="D7962" s="10" t="s">
        <v>7616</v>
      </c>
      <c r="E7962" s="10" t="str">
        <f>"644020240514093902178153"</f>
        <v>644020240514093902178153</v>
      </c>
      <c r="F7962" s="9"/>
    </row>
    <row r="7963" s="2" customFormat="1" ht="30" customHeight="1" spans="1:6">
      <c r="A7963" s="9">
        <v>7960</v>
      </c>
      <c r="B7963" s="10" t="s">
        <v>7527</v>
      </c>
      <c r="C7963" s="10" t="s">
        <v>7528</v>
      </c>
      <c r="D7963" s="10" t="s">
        <v>7617</v>
      </c>
      <c r="E7963" s="10" t="str">
        <f>"644020240514102921178428"</f>
        <v>644020240514102921178428</v>
      </c>
      <c r="F7963" s="9"/>
    </row>
    <row r="7964" s="2" customFormat="1" ht="30" customHeight="1" spans="1:6">
      <c r="A7964" s="9">
        <v>7961</v>
      </c>
      <c r="B7964" s="10" t="s">
        <v>7527</v>
      </c>
      <c r="C7964" s="10" t="s">
        <v>7528</v>
      </c>
      <c r="D7964" s="10" t="s">
        <v>7618</v>
      </c>
      <c r="E7964" s="10" t="str">
        <f>"644020240514104720178538"</f>
        <v>644020240514104720178538</v>
      </c>
      <c r="F7964" s="9"/>
    </row>
    <row r="7965" s="2" customFormat="1" ht="30" customHeight="1" spans="1:6">
      <c r="A7965" s="9">
        <v>7962</v>
      </c>
      <c r="B7965" s="10" t="s">
        <v>7527</v>
      </c>
      <c r="C7965" s="10" t="s">
        <v>7528</v>
      </c>
      <c r="D7965" s="10" t="s">
        <v>7619</v>
      </c>
      <c r="E7965" s="10" t="str">
        <f>"644020240514105654178588"</f>
        <v>644020240514105654178588</v>
      </c>
      <c r="F7965" s="9"/>
    </row>
    <row r="7966" s="2" customFormat="1" ht="30" customHeight="1" spans="1:6">
      <c r="A7966" s="9">
        <v>7963</v>
      </c>
      <c r="B7966" s="10" t="s">
        <v>7527</v>
      </c>
      <c r="C7966" s="10" t="s">
        <v>7528</v>
      </c>
      <c r="D7966" s="10" t="s">
        <v>7620</v>
      </c>
      <c r="E7966" s="10" t="str">
        <f>"644020240514103944178492"</f>
        <v>644020240514103944178492</v>
      </c>
      <c r="F7966" s="9"/>
    </row>
    <row r="7967" s="2" customFormat="1" ht="30" customHeight="1" spans="1:6">
      <c r="A7967" s="9">
        <v>7964</v>
      </c>
      <c r="B7967" s="10" t="s">
        <v>7527</v>
      </c>
      <c r="C7967" s="10" t="s">
        <v>7528</v>
      </c>
      <c r="D7967" s="10" t="s">
        <v>7621</v>
      </c>
      <c r="E7967" s="10" t="str">
        <f>"644020240514111608178659"</f>
        <v>644020240514111608178659</v>
      </c>
      <c r="F7967" s="9"/>
    </row>
    <row r="7968" s="2" customFormat="1" ht="30" customHeight="1" spans="1:6">
      <c r="A7968" s="9">
        <v>7965</v>
      </c>
      <c r="B7968" s="10" t="s">
        <v>7527</v>
      </c>
      <c r="C7968" s="10" t="s">
        <v>7528</v>
      </c>
      <c r="D7968" s="10" t="s">
        <v>7622</v>
      </c>
      <c r="E7968" s="10" t="str">
        <f>"644020240513212244177059"</f>
        <v>644020240513212244177059</v>
      </c>
      <c r="F7968" s="9"/>
    </row>
    <row r="7969" s="2" customFormat="1" ht="30" customHeight="1" spans="1:6">
      <c r="A7969" s="9">
        <v>7966</v>
      </c>
      <c r="B7969" s="10" t="s">
        <v>7527</v>
      </c>
      <c r="C7969" s="10" t="s">
        <v>7528</v>
      </c>
      <c r="D7969" s="10" t="s">
        <v>7623</v>
      </c>
      <c r="E7969" s="10" t="str">
        <f>"644020240514110721178628"</f>
        <v>644020240514110721178628</v>
      </c>
      <c r="F7969" s="9"/>
    </row>
    <row r="7970" s="2" customFormat="1" ht="30" customHeight="1" spans="1:6">
      <c r="A7970" s="9">
        <v>7967</v>
      </c>
      <c r="B7970" s="10" t="s">
        <v>7527</v>
      </c>
      <c r="C7970" s="10" t="s">
        <v>7528</v>
      </c>
      <c r="D7970" s="10" t="s">
        <v>7624</v>
      </c>
      <c r="E7970" s="10" t="str">
        <f>"644020240514114245178774"</f>
        <v>644020240514114245178774</v>
      </c>
      <c r="F7970" s="9"/>
    </row>
    <row r="7971" s="2" customFormat="1" ht="30" customHeight="1" spans="1:6">
      <c r="A7971" s="9">
        <v>7968</v>
      </c>
      <c r="B7971" s="10" t="s">
        <v>7527</v>
      </c>
      <c r="C7971" s="10" t="s">
        <v>7528</v>
      </c>
      <c r="D7971" s="10" t="s">
        <v>7625</v>
      </c>
      <c r="E7971" s="10" t="str">
        <f>"644020240513132516174636"</f>
        <v>644020240513132516174636</v>
      </c>
      <c r="F7971" s="9"/>
    </row>
    <row r="7972" s="2" customFormat="1" ht="30" customHeight="1" spans="1:6">
      <c r="A7972" s="9">
        <v>7969</v>
      </c>
      <c r="B7972" s="10" t="s">
        <v>7527</v>
      </c>
      <c r="C7972" s="10" t="s">
        <v>7528</v>
      </c>
      <c r="D7972" s="10" t="s">
        <v>7626</v>
      </c>
      <c r="E7972" s="10" t="str">
        <f>"644020240514124625178931"</f>
        <v>644020240514124625178931</v>
      </c>
      <c r="F7972" s="9"/>
    </row>
    <row r="7973" s="2" customFormat="1" ht="30" customHeight="1" spans="1:6">
      <c r="A7973" s="9">
        <v>7970</v>
      </c>
      <c r="B7973" s="10" t="s">
        <v>7527</v>
      </c>
      <c r="C7973" s="10" t="s">
        <v>7528</v>
      </c>
      <c r="D7973" s="10" t="s">
        <v>7627</v>
      </c>
      <c r="E7973" s="10" t="str">
        <f>"644020240514132355179015"</f>
        <v>644020240514132355179015</v>
      </c>
      <c r="F7973" s="9"/>
    </row>
    <row r="7974" s="2" customFormat="1" ht="30" customHeight="1" spans="1:6">
      <c r="A7974" s="9">
        <v>7971</v>
      </c>
      <c r="B7974" s="10" t="s">
        <v>7527</v>
      </c>
      <c r="C7974" s="10" t="s">
        <v>7528</v>
      </c>
      <c r="D7974" s="10" t="s">
        <v>7628</v>
      </c>
      <c r="E7974" s="10" t="str">
        <f>"644020240514134851179051"</f>
        <v>644020240514134851179051</v>
      </c>
      <c r="F7974" s="9"/>
    </row>
    <row r="7975" s="2" customFormat="1" ht="30" customHeight="1" spans="1:6">
      <c r="A7975" s="9">
        <v>7972</v>
      </c>
      <c r="B7975" s="10" t="s">
        <v>7527</v>
      </c>
      <c r="C7975" s="10" t="s">
        <v>7528</v>
      </c>
      <c r="D7975" s="10" t="s">
        <v>7629</v>
      </c>
      <c r="E7975" s="10" t="str">
        <f>"644020240514150624179224"</f>
        <v>644020240514150624179224</v>
      </c>
      <c r="F7975" s="9"/>
    </row>
    <row r="7976" s="2" customFormat="1" ht="30" customHeight="1" spans="1:6">
      <c r="A7976" s="9">
        <v>7973</v>
      </c>
      <c r="B7976" s="10" t="s">
        <v>7527</v>
      </c>
      <c r="C7976" s="10" t="s">
        <v>7528</v>
      </c>
      <c r="D7976" s="10" t="s">
        <v>7630</v>
      </c>
      <c r="E7976" s="10" t="str">
        <f>"644020240514101852178366"</f>
        <v>644020240514101852178366</v>
      </c>
      <c r="F7976" s="9"/>
    </row>
    <row r="7977" s="2" customFormat="1" ht="30" customHeight="1" spans="1:6">
      <c r="A7977" s="9">
        <v>7974</v>
      </c>
      <c r="B7977" s="10" t="s">
        <v>7527</v>
      </c>
      <c r="C7977" s="10" t="s">
        <v>7528</v>
      </c>
      <c r="D7977" s="10" t="s">
        <v>7631</v>
      </c>
      <c r="E7977" s="10" t="str">
        <f>"644020240514151504179247"</f>
        <v>644020240514151504179247</v>
      </c>
      <c r="F7977" s="9"/>
    </row>
    <row r="7978" s="2" customFormat="1" ht="30" customHeight="1" spans="1:6">
      <c r="A7978" s="9">
        <v>7975</v>
      </c>
      <c r="B7978" s="10" t="s">
        <v>7527</v>
      </c>
      <c r="C7978" s="10" t="s">
        <v>7528</v>
      </c>
      <c r="D7978" s="10" t="s">
        <v>7632</v>
      </c>
      <c r="E7978" s="10" t="str">
        <f>"644020240514102027178373"</f>
        <v>644020240514102027178373</v>
      </c>
      <c r="F7978" s="9"/>
    </row>
    <row r="7979" s="2" customFormat="1" ht="30" customHeight="1" spans="1:6">
      <c r="A7979" s="9">
        <v>7976</v>
      </c>
      <c r="B7979" s="10" t="s">
        <v>7527</v>
      </c>
      <c r="C7979" s="10" t="s">
        <v>7528</v>
      </c>
      <c r="D7979" s="10" t="s">
        <v>7633</v>
      </c>
      <c r="E7979" s="10" t="str">
        <f>"644020240513141322174867"</f>
        <v>644020240513141322174867</v>
      </c>
      <c r="F7979" s="9"/>
    </row>
    <row r="7980" s="2" customFormat="1" ht="30" customHeight="1" spans="1:6">
      <c r="A7980" s="9">
        <v>7977</v>
      </c>
      <c r="B7980" s="10" t="s">
        <v>7527</v>
      </c>
      <c r="C7980" s="10" t="s">
        <v>7528</v>
      </c>
      <c r="D7980" s="10" t="s">
        <v>7634</v>
      </c>
      <c r="E7980" s="10" t="str">
        <f>"644020240513084714172401"</f>
        <v>644020240513084714172401</v>
      </c>
      <c r="F7980" s="9"/>
    </row>
    <row r="7981" s="2" customFormat="1" ht="30" customHeight="1" spans="1:6">
      <c r="A7981" s="9">
        <v>7978</v>
      </c>
      <c r="B7981" s="10" t="s">
        <v>7527</v>
      </c>
      <c r="C7981" s="10" t="s">
        <v>7528</v>
      </c>
      <c r="D7981" s="10" t="s">
        <v>7635</v>
      </c>
      <c r="E7981" s="10" t="str">
        <f>"644020240514152521179276"</f>
        <v>644020240514152521179276</v>
      </c>
      <c r="F7981" s="9"/>
    </row>
    <row r="7982" s="2" customFormat="1" ht="30" customHeight="1" spans="1:6">
      <c r="A7982" s="9">
        <v>7979</v>
      </c>
      <c r="B7982" s="10" t="s">
        <v>7527</v>
      </c>
      <c r="C7982" s="10" t="s">
        <v>7528</v>
      </c>
      <c r="D7982" s="10" t="s">
        <v>7636</v>
      </c>
      <c r="E7982" s="10" t="str">
        <f>"644020240514105948178601"</f>
        <v>644020240514105948178601</v>
      </c>
      <c r="F7982" s="9"/>
    </row>
    <row r="7983" s="2" customFormat="1" ht="30" customHeight="1" spans="1:6">
      <c r="A7983" s="9">
        <v>7980</v>
      </c>
      <c r="B7983" s="10" t="s">
        <v>7527</v>
      </c>
      <c r="C7983" s="10" t="s">
        <v>7528</v>
      </c>
      <c r="D7983" s="10" t="s">
        <v>7637</v>
      </c>
      <c r="E7983" s="10" t="str">
        <f>"644020240514162727179493"</f>
        <v>644020240514162727179493</v>
      </c>
      <c r="F7983" s="9"/>
    </row>
    <row r="7984" s="2" customFormat="1" ht="30" customHeight="1" spans="1:6">
      <c r="A7984" s="9">
        <v>7981</v>
      </c>
      <c r="B7984" s="10" t="s">
        <v>7527</v>
      </c>
      <c r="C7984" s="10" t="s">
        <v>7528</v>
      </c>
      <c r="D7984" s="10" t="s">
        <v>7638</v>
      </c>
      <c r="E7984" s="10" t="str">
        <f>"644020240514163748179527"</f>
        <v>644020240514163748179527</v>
      </c>
      <c r="F7984" s="9"/>
    </row>
    <row r="7985" s="2" customFormat="1" ht="30" customHeight="1" spans="1:6">
      <c r="A7985" s="9">
        <v>7982</v>
      </c>
      <c r="B7985" s="10" t="s">
        <v>7527</v>
      </c>
      <c r="C7985" s="10" t="s">
        <v>7528</v>
      </c>
      <c r="D7985" s="10" t="s">
        <v>7639</v>
      </c>
      <c r="E7985" s="10" t="str">
        <f>"644020240513125916174513"</f>
        <v>644020240513125916174513</v>
      </c>
      <c r="F7985" s="9"/>
    </row>
    <row r="7986" s="2" customFormat="1" ht="30" customHeight="1" spans="1:6">
      <c r="A7986" s="9">
        <v>7983</v>
      </c>
      <c r="B7986" s="10" t="s">
        <v>7527</v>
      </c>
      <c r="C7986" s="10" t="s">
        <v>7528</v>
      </c>
      <c r="D7986" s="10" t="s">
        <v>6326</v>
      </c>
      <c r="E7986" s="10" t="str">
        <f>"644020240514170158179614"</f>
        <v>644020240514170158179614</v>
      </c>
      <c r="F7986" s="9"/>
    </row>
    <row r="7987" s="2" customFormat="1" ht="30" customHeight="1" spans="1:6">
      <c r="A7987" s="9">
        <v>7984</v>
      </c>
      <c r="B7987" s="10" t="s">
        <v>7527</v>
      </c>
      <c r="C7987" s="10" t="s">
        <v>7528</v>
      </c>
      <c r="D7987" s="10" t="s">
        <v>3689</v>
      </c>
      <c r="E7987" s="10" t="str">
        <f>"644020240514163701179522"</f>
        <v>644020240514163701179522</v>
      </c>
      <c r="F7987" s="9"/>
    </row>
    <row r="7988" s="2" customFormat="1" ht="30" customHeight="1" spans="1:6">
      <c r="A7988" s="9">
        <v>7985</v>
      </c>
      <c r="B7988" s="10" t="s">
        <v>7527</v>
      </c>
      <c r="C7988" s="10" t="s">
        <v>7528</v>
      </c>
      <c r="D7988" s="10" t="s">
        <v>7640</v>
      </c>
      <c r="E7988" s="10" t="str">
        <f>"644020240514170329179619"</f>
        <v>644020240514170329179619</v>
      </c>
      <c r="F7988" s="9"/>
    </row>
    <row r="7989" s="2" customFormat="1" ht="30" customHeight="1" spans="1:6">
      <c r="A7989" s="9">
        <v>7986</v>
      </c>
      <c r="B7989" s="10" t="s">
        <v>7527</v>
      </c>
      <c r="C7989" s="10" t="s">
        <v>7528</v>
      </c>
      <c r="D7989" s="10" t="s">
        <v>7641</v>
      </c>
      <c r="E7989" s="10" t="str">
        <f>"644020240514170549179629"</f>
        <v>644020240514170549179629</v>
      </c>
      <c r="F7989" s="9"/>
    </row>
    <row r="7990" s="2" customFormat="1" ht="30" customHeight="1" spans="1:6">
      <c r="A7990" s="9">
        <v>7987</v>
      </c>
      <c r="B7990" s="10" t="s">
        <v>7527</v>
      </c>
      <c r="C7990" s="10" t="s">
        <v>7528</v>
      </c>
      <c r="D7990" s="10" t="s">
        <v>7642</v>
      </c>
      <c r="E7990" s="10" t="str">
        <f>"644020240513090310172524"</f>
        <v>644020240513090310172524</v>
      </c>
      <c r="F7990" s="9"/>
    </row>
    <row r="7991" s="2" customFormat="1" ht="30" customHeight="1" spans="1:6">
      <c r="A7991" s="9">
        <v>7988</v>
      </c>
      <c r="B7991" s="10" t="s">
        <v>7527</v>
      </c>
      <c r="C7991" s="10" t="s">
        <v>7528</v>
      </c>
      <c r="D7991" s="10" t="s">
        <v>7643</v>
      </c>
      <c r="E7991" s="10" t="str">
        <f>"644020240514171442179663"</f>
        <v>644020240514171442179663</v>
      </c>
      <c r="F7991" s="9"/>
    </row>
    <row r="7992" s="2" customFormat="1" ht="30" customHeight="1" spans="1:6">
      <c r="A7992" s="9">
        <v>7989</v>
      </c>
      <c r="B7992" s="10" t="s">
        <v>7527</v>
      </c>
      <c r="C7992" s="10" t="s">
        <v>7528</v>
      </c>
      <c r="D7992" s="10" t="s">
        <v>7644</v>
      </c>
      <c r="E7992" s="10" t="str">
        <f>"644020240513082957172294"</f>
        <v>644020240513082957172294</v>
      </c>
      <c r="F7992" s="9"/>
    </row>
    <row r="7993" s="2" customFormat="1" ht="30" customHeight="1" spans="1:6">
      <c r="A7993" s="9">
        <v>7990</v>
      </c>
      <c r="B7993" s="10" t="s">
        <v>7527</v>
      </c>
      <c r="C7993" s="10" t="s">
        <v>7528</v>
      </c>
      <c r="D7993" s="10" t="s">
        <v>7645</v>
      </c>
      <c r="E7993" s="10" t="str">
        <f>"644020240514174336179742"</f>
        <v>644020240514174336179742</v>
      </c>
      <c r="F7993" s="9"/>
    </row>
    <row r="7994" s="2" customFormat="1" ht="30" customHeight="1" spans="1:6">
      <c r="A7994" s="9">
        <v>7991</v>
      </c>
      <c r="B7994" s="10" t="s">
        <v>7527</v>
      </c>
      <c r="C7994" s="10" t="s">
        <v>7528</v>
      </c>
      <c r="D7994" s="10" t="s">
        <v>7646</v>
      </c>
      <c r="E7994" s="10" t="str">
        <f>"644020240514181930179812"</f>
        <v>644020240514181930179812</v>
      </c>
      <c r="F7994" s="9"/>
    </row>
    <row r="7995" s="2" customFormat="1" ht="30" customHeight="1" spans="1:6">
      <c r="A7995" s="9">
        <v>7992</v>
      </c>
      <c r="B7995" s="10" t="s">
        <v>7527</v>
      </c>
      <c r="C7995" s="10" t="s">
        <v>7528</v>
      </c>
      <c r="D7995" s="10" t="s">
        <v>7647</v>
      </c>
      <c r="E7995" s="10" t="str">
        <f>"644020240514175914179775"</f>
        <v>644020240514175914179775</v>
      </c>
      <c r="F7995" s="9"/>
    </row>
    <row r="7996" s="2" customFormat="1" ht="30" customHeight="1" spans="1:6">
      <c r="A7996" s="9">
        <v>7993</v>
      </c>
      <c r="B7996" s="10" t="s">
        <v>7527</v>
      </c>
      <c r="C7996" s="10" t="s">
        <v>7528</v>
      </c>
      <c r="D7996" s="10" t="s">
        <v>7648</v>
      </c>
      <c r="E7996" s="10" t="str">
        <f>"644020240513093405172849"</f>
        <v>644020240513093405172849</v>
      </c>
      <c r="F7996" s="9"/>
    </row>
    <row r="7997" s="2" customFormat="1" ht="30" customHeight="1" spans="1:6">
      <c r="A7997" s="9">
        <v>7994</v>
      </c>
      <c r="B7997" s="10" t="s">
        <v>7527</v>
      </c>
      <c r="C7997" s="10" t="s">
        <v>7528</v>
      </c>
      <c r="D7997" s="10" t="s">
        <v>7649</v>
      </c>
      <c r="E7997" s="10" t="str">
        <f>"644020240514200302179977"</f>
        <v>644020240514200302179977</v>
      </c>
      <c r="F7997" s="9"/>
    </row>
    <row r="7998" s="2" customFormat="1" ht="30" customHeight="1" spans="1:6">
      <c r="A7998" s="9">
        <v>7995</v>
      </c>
      <c r="B7998" s="10" t="s">
        <v>7527</v>
      </c>
      <c r="C7998" s="10" t="s">
        <v>7528</v>
      </c>
      <c r="D7998" s="10" t="s">
        <v>7650</v>
      </c>
      <c r="E7998" s="10" t="str">
        <f>"644020240513100355173145"</f>
        <v>644020240513100355173145</v>
      </c>
      <c r="F7998" s="9"/>
    </row>
    <row r="7999" s="2" customFormat="1" ht="30" customHeight="1" spans="1:6">
      <c r="A7999" s="9">
        <v>7996</v>
      </c>
      <c r="B7999" s="10" t="s">
        <v>7527</v>
      </c>
      <c r="C7999" s="10" t="s">
        <v>7528</v>
      </c>
      <c r="D7999" s="10" t="s">
        <v>7651</v>
      </c>
      <c r="E7999" s="10" t="str">
        <f>"644020240512125759169228"</f>
        <v>644020240512125759169228</v>
      </c>
      <c r="F7999" s="9"/>
    </row>
    <row r="8000" s="2" customFormat="1" ht="30" customHeight="1" spans="1:6">
      <c r="A8000" s="9">
        <v>7997</v>
      </c>
      <c r="B8000" s="10" t="s">
        <v>7527</v>
      </c>
      <c r="C8000" s="10" t="s">
        <v>7528</v>
      </c>
      <c r="D8000" s="10" t="s">
        <v>7652</v>
      </c>
      <c r="E8000" s="10" t="str">
        <f>"644020240514204244180054"</f>
        <v>644020240514204244180054</v>
      </c>
      <c r="F8000" s="9"/>
    </row>
    <row r="8001" s="2" customFormat="1" ht="30" customHeight="1" spans="1:6">
      <c r="A8001" s="9">
        <v>7998</v>
      </c>
      <c r="B8001" s="10" t="s">
        <v>7527</v>
      </c>
      <c r="C8001" s="10" t="s">
        <v>7528</v>
      </c>
      <c r="D8001" s="10" t="s">
        <v>7653</v>
      </c>
      <c r="E8001" s="10" t="str">
        <f>"644020240512155152169849"</f>
        <v>644020240512155152169849</v>
      </c>
      <c r="F8001" s="9"/>
    </row>
    <row r="8002" s="2" customFormat="1" ht="30" customHeight="1" spans="1:6">
      <c r="A8002" s="9">
        <v>7999</v>
      </c>
      <c r="B8002" s="10" t="s">
        <v>7527</v>
      </c>
      <c r="C8002" s="10" t="s">
        <v>7528</v>
      </c>
      <c r="D8002" s="10" t="s">
        <v>1842</v>
      </c>
      <c r="E8002" s="10" t="str">
        <f>"644020240514212123180175"</f>
        <v>644020240514212123180175</v>
      </c>
      <c r="F8002" s="9"/>
    </row>
    <row r="8003" s="2" customFormat="1" ht="30" customHeight="1" spans="1:6">
      <c r="A8003" s="9">
        <v>8000</v>
      </c>
      <c r="B8003" s="10" t="s">
        <v>7527</v>
      </c>
      <c r="C8003" s="10" t="s">
        <v>7528</v>
      </c>
      <c r="D8003" s="10" t="s">
        <v>7654</v>
      </c>
      <c r="E8003" s="10" t="str">
        <f>"644020240513235932177637"</f>
        <v>644020240513235932177637</v>
      </c>
      <c r="F8003" s="9"/>
    </row>
    <row r="8004" s="2" customFormat="1" ht="30" customHeight="1" spans="1:6">
      <c r="A8004" s="9">
        <v>8001</v>
      </c>
      <c r="B8004" s="10" t="s">
        <v>7527</v>
      </c>
      <c r="C8004" s="10" t="s">
        <v>7528</v>
      </c>
      <c r="D8004" s="10" t="s">
        <v>7655</v>
      </c>
      <c r="E8004" s="10" t="str">
        <f>"644020240514215939180289"</f>
        <v>644020240514215939180289</v>
      </c>
      <c r="F8004" s="9"/>
    </row>
    <row r="8005" s="2" customFormat="1" ht="30" customHeight="1" spans="1:6">
      <c r="A8005" s="9">
        <v>8002</v>
      </c>
      <c r="B8005" s="10" t="s">
        <v>7527</v>
      </c>
      <c r="C8005" s="10" t="s">
        <v>7528</v>
      </c>
      <c r="D8005" s="10" t="s">
        <v>7656</v>
      </c>
      <c r="E8005" s="10" t="str">
        <f>"644020240514132356179016"</f>
        <v>644020240514132356179016</v>
      </c>
      <c r="F8005" s="9"/>
    </row>
    <row r="8006" s="2" customFormat="1" ht="30" customHeight="1" spans="1:6">
      <c r="A8006" s="9">
        <v>8003</v>
      </c>
      <c r="B8006" s="10" t="s">
        <v>7527</v>
      </c>
      <c r="C8006" s="10" t="s">
        <v>7528</v>
      </c>
      <c r="D8006" s="10" t="s">
        <v>7657</v>
      </c>
      <c r="E8006" s="10" t="str">
        <f>"644020240514220330180309"</f>
        <v>644020240514220330180309</v>
      </c>
      <c r="F8006" s="9"/>
    </row>
    <row r="8007" s="2" customFormat="1" ht="30" customHeight="1" spans="1:6">
      <c r="A8007" s="9">
        <v>8004</v>
      </c>
      <c r="B8007" s="10" t="s">
        <v>7527</v>
      </c>
      <c r="C8007" s="10" t="s">
        <v>7528</v>
      </c>
      <c r="D8007" s="10" t="s">
        <v>7658</v>
      </c>
      <c r="E8007" s="10" t="str">
        <f>"644020240513001226171962"</f>
        <v>644020240513001226171962</v>
      </c>
      <c r="F8007" s="9"/>
    </row>
    <row r="8008" s="2" customFormat="1" ht="30" customHeight="1" spans="1:6">
      <c r="A8008" s="9">
        <v>8005</v>
      </c>
      <c r="B8008" s="10" t="s">
        <v>7527</v>
      </c>
      <c r="C8008" s="10" t="s">
        <v>7528</v>
      </c>
      <c r="D8008" s="10" t="s">
        <v>7659</v>
      </c>
      <c r="E8008" s="10" t="str">
        <f>"644020240513104041173511"</f>
        <v>644020240513104041173511</v>
      </c>
      <c r="F8008" s="9"/>
    </row>
    <row r="8009" s="2" customFormat="1" ht="30" customHeight="1" spans="1:6">
      <c r="A8009" s="9">
        <v>8006</v>
      </c>
      <c r="B8009" s="10" t="s">
        <v>7527</v>
      </c>
      <c r="C8009" s="10" t="s">
        <v>7528</v>
      </c>
      <c r="D8009" s="10" t="s">
        <v>7660</v>
      </c>
      <c r="E8009" s="10" t="str">
        <f>"644020240514220231180301"</f>
        <v>644020240514220231180301</v>
      </c>
      <c r="F8009" s="9"/>
    </row>
    <row r="8010" s="2" customFormat="1" ht="30" customHeight="1" spans="1:6">
      <c r="A8010" s="9">
        <v>8007</v>
      </c>
      <c r="B8010" s="10" t="s">
        <v>7527</v>
      </c>
      <c r="C8010" s="10" t="s">
        <v>7528</v>
      </c>
      <c r="D8010" s="10" t="s">
        <v>7661</v>
      </c>
      <c r="E8010" s="10" t="str">
        <f>"644020240514223204180383"</f>
        <v>644020240514223204180383</v>
      </c>
      <c r="F8010" s="9"/>
    </row>
    <row r="8011" s="2" customFormat="1" ht="30" customHeight="1" spans="1:6">
      <c r="A8011" s="9">
        <v>8008</v>
      </c>
      <c r="B8011" s="10" t="s">
        <v>7527</v>
      </c>
      <c r="C8011" s="10" t="s">
        <v>7528</v>
      </c>
      <c r="D8011" s="10" t="s">
        <v>7662</v>
      </c>
      <c r="E8011" s="10" t="str">
        <f>"644020240514225216180439"</f>
        <v>644020240514225216180439</v>
      </c>
      <c r="F8011" s="9"/>
    </row>
    <row r="8012" s="2" customFormat="1" ht="30" customHeight="1" spans="1:6">
      <c r="A8012" s="9">
        <v>8009</v>
      </c>
      <c r="B8012" s="10" t="s">
        <v>7527</v>
      </c>
      <c r="C8012" s="10" t="s">
        <v>7528</v>
      </c>
      <c r="D8012" s="10" t="s">
        <v>7663</v>
      </c>
      <c r="E8012" s="10" t="str">
        <f>"644020240513214122177127"</f>
        <v>644020240513214122177127</v>
      </c>
      <c r="F8012" s="9"/>
    </row>
    <row r="8013" s="2" customFormat="1" ht="30" customHeight="1" spans="1:6">
      <c r="A8013" s="9">
        <v>8010</v>
      </c>
      <c r="B8013" s="10" t="s">
        <v>7527</v>
      </c>
      <c r="C8013" s="10" t="s">
        <v>7528</v>
      </c>
      <c r="D8013" s="10" t="s">
        <v>7664</v>
      </c>
      <c r="E8013" s="10" t="str">
        <f>"644020240514230308180465"</f>
        <v>644020240514230308180465</v>
      </c>
      <c r="F8013" s="9"/>
    </row>
    <row r="8014" s="2" customFormat="1" ht="30" customHeight="1" spans="1:6">
      <c r="A8014" s="9">
        <v>8011</v>
      </c>
      <c r="B8014" s="10" t="s">
        <v>7527</v>
      </c>
      <c r="C8014" s="10" t="s">
        <v>7528</v>
      </c>
      <c r="D8014" s="10" t="s">
        <v>6870</v>
      </c>
      <c r="E8014" s="10" t="str">
        <f>"644020240514231923180502"</f>
        <v>644020240514231923180502</v>
      </c>
      <c r="F8014" s="9"/>
    </row>
    <row r="8015" s="2" customFormat="1" ht="30" customHeight="1" spans="1:6">
      <c r="A8015" s="9">
        <v>8012</v>
      </c>
      <c r="B8015" s="10" t="s">
        <v>7527</v>
      </c>
      <c r="C8015" s="10" t="s">
        <v>7528</v>
      </c>
      <c r="D8015" s="10" t="s">
        <v>7665</v>
      </c>
      <c r="E8015" s="10" t="str">
        <f>"644020240514231906180501"</f>
        <v>644020240514231906180501</v>
      </c>
      <c r="F8015" s="9"/>
    </row>
    <row r="8016" s="2" customFormat="1" ht="30" customHeight="1" spans="1:6">
      <c r="A8016" s="9">
        <v>8013</v>
      </c>
      <c r="B8016" s="10" t="s">
        <v>7527</v>
      </c>
      <c r="C8016" s="10" t="s">
        <v>7528</v>
      </c>
      <c r="D8016" s="10" t="s">
        <v>7666</v>
      </c>
      <c r="E8016" s="10" t="str">
        <f>"644020240514225539180447"</f>
        <v>644020240514225539180447</v>
      </c>
      <c r="F8016" s="9"/>
    </row>
    <row r="8017" s="2" customFormat="1" ht="30" customHeight="1" spans="1:6">
      <c r="A8017" s="9">
        <v>8014</v>
      </c>
      <c r="B8017" s="10" t="s">
        <v>7527</v>
      </c>
      <c r="C8017" s="10" t="s">
        <v>7528</v>
      </c>
      <c r="D8017" s="10" t="s">
        <v>7667</v>
      </c>
      <c r="E8017" s="10" t="str">
        <f>"644020240514233206180524"</f>
        <v>644020240514233206180524</v>
      </c>
      <c r="F8017" s="9"/>
    </row>
    <row r="8018" s="2" customFormat="1" ht="30" customHeight="1" spans="1:6">
      <c r="A8018" s="9">
        <v>8015</v>
      </c>
      <c r="B8018" s="10" t="s">
        <v>7527</v>
      </c>
      <c r="C8018" s="10" t="s">
        <v>7528</v>
      </c>
      <c r="D8018" s="10" t="s">
        <v>7668</v>
      </c>
      <c r="E8018" s="10" t="str">
        <f>"644020240514103338178453"</f>
        <v>644020240514103338178453</v>
      </c>
      <c r="F8018" s="9"/>
    </row>
    <row r="8019" s="2" customFormat="1" ht="30" customHeight="1" spans="1:6">
      <c r="A8019" s="9">
        <v>8016</v>
      </c>
      <c r="B8019" s="10" t="s">
        <v>7527</v>
      </c>
      <c r="C8019" s="10" t="s">
        <v>7528</v>
      </c>
      <c r="D8019" s="10" t="s">
        <v>7669</v>
      </c>
      <c r="E8019" s="10" t="str">
        <f>"644020240514235402180563"</f>
        <v>644020240514235402180563</v>
      </c>
      <c r="F8019" s="9"/>
    </row>
    <row r="8020" s="2" customFormat="1" ht="30" customHeight="1" spans="1:6">
      <c r="A8020" s="9">
        <v>8017</v>
      </c>
      <c r="B8020" s="10" t="s">
        <v>7527</v>
      </c>
      <c r="C8020" s="10" t="s">
        <v>7528</v>
      </c>
      <c r="D8020" s="10" t="s">
        <v>1644</v>
      </c>
      <c r="E8020" s="10" t="str">
        <f>"644020240515001428180583"</f>
        <v>644020240515001428180583</v>
      </c>
      <c r="F8020" s="9"/>
    </row>
    <row r="8021" s="2" customFormat="1" ht="30" customHeight="1" spans="1:6">
      <c r="A8021" s="9">
        <v>8018</v>
      </c>
      <c r="B8021" s="10" t="s">
        <v>7527</v>
      </c>
      <c r="C8021" s="10" t="s">
        <v>7528</v>
      </c>
      <c r="D8021" s="10" t="s">
        <v>7670</v>
      </c>
      <c r="E8021" s="10" t="str">
        <f>"644020240515001116180578"</f>
        <v>644020240515001116180578</v>
      </c>
      <c r="F8021" s="9"/>
    </row>
    <row r="8022" s="2" customFormat="1" ht="30" customHeight="1" spans="1:6">
      <c r="A8022" s="9">
        <v>8019</v>
      </c>
      <c r="B8022" s="10" t="s">
        <v>7527</v>
      </c>
      <c r="C8022" s="10" t="s">
        <v>7528</v>
      </c>
      <c r="D8022" s="10" t="s">
        <v>7671</v>
      </c>
      <c r="E8022" s="10" t="str">
        <f>"644020240514234140180541"</f>
        <v>644020240514234140180541</v>
      </c>
      <c r="F8022" s="9"/>
    </row>
    <row r="8023" s="2" customFormat="1" ht="30" customHeight="1" spans="1:6">
      <c r="A8023" s="9">
        <v>8020</v>
      </c>
      <c r="B8023" s="10" t="s">
        <v>7527</v>
      </c>
      <c r="C8023" s="10" t="s">
        <v>7528</v>
      </c>
      <c r="D8023" s="10" t="s">
        <v>7672</v>
      </c>
      <c r="E8023" s="10" t="str">
        <f>"644020240515081220180676"</f>
        <v>644020240515081220180676</v>
      </c>
      <c r="F8023" s="9"/>
    </row>
    <row r="8024" s="2" customFormat="1" ht="30" customHeight="1" spans="1:6">
      <c r="A8024" s="9">
        <v>8021</v>
      </c>
      <c r="B8024" s="10" t="s">
        <v>7527</v>
      </c>
      <c r="C8024" s="10" t="s">
        <v>7528</v>
      </c>
      <c r="D8024" s="10" t="s">
        <v>7673</v>
      </c>
      <c r="E8024" s="10" t="str">
        <f>"644020240515085233180744"</f>
        <v>644020240515085233180744</v>
      </c>
      <c r="F8024" s="9"/>
    </row>
    <row r="8025" s="2" customFormat="1" ht="30" customHeight="1" spans="1:6">
      <c r="A8025" s="9">
        <v>8022</v>
      </c>
      <c r="B8025" s="10" t="s">
        <v>7527</v>
      </c>
      <c r="C8025" s="10" t="s">
        <v>7528</v>
      </c>
      <c r="D8025" s="10" t="s">
        <v>2207</v>
      </c>
      <c r="E8025" s="10" t="str">
        <f>"644020240515083151180699"</f>
        <v>644020240515083151180699</v>
      </c>
      <c r="F8025" s="9"/>
    </row>
    <row r="8026" s="2" customFormat="1" ht="30" customHeight="1" spans="1:6">
      <c r="A8026" s="9">
        <v>8023</v>
      </c>
      <c r="B8026" s="10" t="s">
        <v>7527</v>
      </c>
      <c r="C8026" s="10" t="s">
        <v>7528</v>
      </c>
      <c r="D8026" s="10" t="s">
        <v>7674</v>
      </c>
      <c r="E8026" s="10" t="str">
        <f>"644020240514090310177974"</f>
        <v>644020240514090310177974</v>
      </c>
      <c r="F8026" s="9"/>
    </row>
    <row r="8027" s="2" customFormat="1" ht="30" customHeight="1" spans="1:6">
      <c r="A8027" s="9">
        <v>8024</v>
      </c>
      <c r="B8027" s="10" t="s">
        <v>7527</v>
      </c>
      <c r="C8027" s="10" t="s">
        <v>7528</v>
      </c>
      <c r="D8027" s="10" t="s">
        <v>93</v>
      </c>
      <c r="E8027" s="10" t="str">
        <f>"644020240515084523180731"</f>
        <v>644020240515084523180731</v>
      </c>
      <c r="F8027" s="9"/>
    </row>
    <row r="8028" s="2" customFormat="1" ht="30" customHeight="1" spans="1:6">
      <c r="A8028" s="9">
        <v>8025</v>
      </c>
      <c r="B8028" s="10" t="s">
        <v>7527</v>
      </c>
      <c r="C8028" s="10" t="s">
        <v>7528</v>
      </c>
      <c r="D8028" s="10" t="s">
        <v>7675</v>
      </c>
      <c r="E8028" s="10" t="str">
        <f>"644020240515093523180870"</f>
        <v>644020240515093523180870</v>
      </c>
      <c r="F8028" s="9"/>
    </row>
    <row r="8029" s="2" customFormat="1" ht="30" customHeight="1" spans="1:6">
      <c r="A8029" s="9">
        <v>8026</v>
      </c>
      <c r="B8029" s="10" t="s">
        <v>7527</v>
      </c>
      <c r="C8029" s="10" t="s">
        <v>7528</v>
      </c>
      <c r="D8029" s="10" t="s">
        <v>7676</v>
      </c>
      <c r="E8029" s="10" t="str">
        <f>"644020240513200019176726"</f>
        <v>644020240513200019176726</v>
      </c>
      <c r="F8029" s="9"/>
    </row>
    <row r="8030" s="2" customFormat="1" ht="30" customHeight="1" spans="1:6">
      <c r="A8030" s="9">
        <v>8027</v>
      </c>
      <c r="B8030" s="10" t="s">
        <v>7527</v>
      </c>
      <c r="C8030" s="10" t="s">
        <v>7528</v>
      </c>
      <c r="D8030" s="10" t="s">
        <v>7677</v>
      </c>
      <c r="E8030" s="10" t="str">
        <f>"644020240515102559181033"</f>
        <v>644020240515102559181033</v>
      </c>
      <c r="F8030" s="9"/>
    </row>
    <row r="8031" s="2" customFormat="1" ht="30" customHeight="1" spans="1:6">
      <c r="A8031" s="9">
        <v>8028</v>
      </c>
      <c r="B8031" s="10" t="s">
        <v>7527</v>
      </c>
      <c r="C8031" s="10" t="s">
        <v>7528</v>
      </c>
      <c r="D8031" s="10" t="s">
        <v>7678</v>
      </c>
      <c r="E8031" s="10" t="str">
        <f>"644020240514211553180159"</f>
        <v>644020240514211553180159</v>
      </c>
      <c r="F8031" s="9"/>
    </row>
    <row r="8032" s="2" customFormat="1" ht="30" customHeight="1" spans="1:6">
      <c r="A8032" s="9">
        <v>8029</v>
      </c>
      <c r="B8032" s="10" t="s">
        <v>7527</v>
      </c>
      <c r="C8032" s="10" t="s">
        <v>7528</v>
      </c>
      <c r="D8032" s="10" t="s">
        <v>7679</v>
      </c>
      <c r="E8032" s="10" t="str">
        <f>"644020240515102033181007"</f>
        <v>644020240515102033181007</v>
      </c>
      <c r="F8032" s="9"/>
    </row>
    <row r="8033" s="2" customFormat="1" ht="30" customHeight="1" spans="1:6">
      <c r="A8033" s="9">
        <v>8030</v>
      </c>
      <c r="B8033" s="10" t="s">
        <v>7527</v>
      </c>
      <c r="C8033" s="10" t="s">
        <v>7528</v>
      </c>
      <c r="D8033" s="10" t="s">
        <v>7680</v>
      </c>
      <c r="E8033" s="10" t="str">
        <f>"644020240515104705181103"</f>
        <v>644020240515104705181103</v>
      </c>
      <c r="F8033" s="9"/>
    </row>
    <row r="8034" s="2" customFormat="1" ht="30" customHeight="1" spans="1:6">
      <c r="A8034" s="9">
        <v>8031</v>
      </c>
      <c r="B8034" s="10" t="s">
        <v>7527</v>
      </c>
      <c r="C8034" s="10" t="s">
        <v>7528</v>
      </c>
      <c r="D8034" s="10" t="s">
        <v>7681</v>
      </c>
      <c r="E8034" s="10" t="str">
        <f>"644020240515103513181068"</f>
        <v>644020240515103513181068</v>
      </c>
      <c r="F8034" s="9"/>
    </row>
    <row r="8035" s="2" customFormat="1" ht="30" customHeight="1" spans="1:6">
      <c r="A8035" s="9">
        <v>8032</v>
      </c>
      <c r="B8035" s="10" t="s">
        <v>7527</v>
      </c>
      <c r="C8035" s="10" t="s">
        <v>7528</v>
      </c>
      <c r="D8035" s="10" t="s">
        <v>7682</v>
      </c>
      <c r="E8035" s="10" t="str">
        <f>"644020240515103508181066"</f>
        <v>644020240515103508181066</v>
      </c>
      <c r="F8035" s="9"/>
    </row>
    <row r="8036" s="2" customFormat="1" ht="30" customHeight="1" spans="1:6">
      <c r="A8036" s="9">
        <v>8033</v>
      </c>
      <c r="B8036" s="10" t="s">
        <v>7527</v>
      </c>
      <c r="C8036" s="10" t="s">
        <v>7528</v>
      </c>
      <c r="D8036" s="10" t="s">
        <v>7683</v>
      </c>
      <c r="E8036" s="10" t="str">
        <f>"644020240515111153181186"</f>
        <v>644020240515111153181186</v>
      </c>
      <c r="F8036" s="9"/>
    </row>
    <row r="8037" s="2" customFormat="1" ht="30" customHeight="1" spans="1:6">
      <c r="A8037" s="9">
        <v>8034</v>
      </c>
      <c r="B8037" s="10" t="s">
        <v>7527</v>
      </c>
      <c r="C8037" s="10" t="s">
        <v>7528</v>
      </c>
      <c r="D8037" s="10" t="s">
        <v>7684</v>
      </c>
      <c r="E8037" s="10" t="str">
        <f>"644020240515113856181270"</f>
        <v>644020240515113856181270</v>
      </c>
      <c r="F8037" s="9"/>
    </row>
    <row r="8038" s="2" customFormat="1" ht="30" customHeight="1" spans="1:6">
      <c r="A8038" s="9">
        <v>8035</v>
      </c>
      <c r="B8038" s="10" t="s">
        <v>7527</v>
      </c>
      <c r="C8038" s="10" t="s">
        <v>7528</v>
      </c>
      <c r="D8038" s="10" t="s">
        <v>4845</v>
      </c>
      <c r="E8038" s="10" t="str">
        <f>"644020240515093924180880"</f>
        <v>644020240515093924180880</v>
      </c>
      <c r="F8038" s="9"/>
    </row>
    <row r="8039" s="2" customFormat="1" ht="30" customHeight="1" spans="1:6">
      <c r="A8039" s="9">
        <v>8036</v>
      </c>
      <c r="B8039" s="10" t="s">
        <v>7527</v>
      </c>
      <c r="C8039" s="10" t="s">
        <v>7528</v>
      </c>
      <c r="D8039" s="10" t="s">
        <v>7685</v>
      </c>
      <c r="E8039" s="10" t="str">
        <f>"644020240514215302180272"</f>
        <v>644020240514215302180272</v>
      </c>
      <c r="F8039" s="9"/>
    </row>
    <row r="8040" s="2" customFormat="1" ht="30" customHeight="1" spans="1:6">
      <c r="A8040" s="9">
        <v>8037</v>
      </c>
      <c r="B8040" s="10" t="s">
        <v>7527</v>
      </c>
      <c r="C8040" s="10" t="s">
        <v>7528</v>
      </c>
      <c r="D8040" s="10" t="s">
        <v>7686</v>
      </c>
      <c r="E8040" s="10" t="str">
        <f>"644020240515115209181302"</f>
        <v>644020240515115209181302</v>
      </c>
      <c r="F8040" s="9"/>
    </row>
    <row r="8041" s="2" customFormat="1" ht="30" customHeight="1" spans="1:6">
      <c r="A8041" s="9">
        <v>8038</v>
      </c>
      <c r="B8041" s="10" t="s">
        <v>7527</v>
      </c>
      <c r="C8041" s="10" t="s">
        <v>7528</v>
      </c>
      <c r="D8041" s="10" t="s">
        <v>7687</v>
      </c>
      <c r="E8041" s="10" t="str">
        <f>"644020240513121159174199"</f>
        <v>644020240513121159174199</v>
      </c>
      <c r="F8041" s="9"/>
    </row>
    <row r="8042" s="2" customFormat="1" ht="30" customHeight="1" spans="1:6">
      <c r="A8042" s="9">
        <v>8039</v>
      </c>
      <c r="B8042" s="10" t="s">
        <v>7527</v>
      </c>
      <c r="C8042" s="10" t="s">
        <v>7528</v>
      </c>
      <c r="D8042" s="10" t="s">
        <v>135</v>
      </c>
      <c r="E8042" s="10" t="str">
        <f>"644020240515121926181359"</f>
        <v>644020240515121926181359</v>
      </c>
      <c r="F8042" s="9"/>
    </row>
    <row r="8043" s="2" customFormat="1" ht="30" customHeight="1" spans="1:6">
      <c r="A8043" s="9">
        <v>8040</v>
      </c>
      <c r="B8043" s="10" t="s">
        <v>7527</v>
      </c>
      <c r="C8043" s="10" t="s">
        <v>7528</v>
      </c>
      <c r="D8043" s="10" t="s">
        <v>7688</v>
      </c>
      <c r="E8043" s="10" t="str">
        <f>"644020240515105839181141"</f>
        <v>644020240515105839181141</v>
      </c>
      <c r="F8043" s="9"/>
    </row>
    <row r="8044" s="2" customFormat="1" ht="30" customHeight="1" spans="1:6">
      <c r="A8044" s="9">
        <v>8041</v>
      </c>
      <c r="B8044" s="10" t="s">
        <v>7527</v>
      </c>
      <c r="C8044" s="10" t="s">
        <v>7528</v>
      </c>
      <c r="D8044" s="10" t="s">
        <v>7689</v>
      </c>
      <c r="E8044" s="10" t="str">
        <f>"644020240515125041181401"</f>
        <v>644020240515125041181401</v>
      </c>
      <c r="F8044" s="9"/>
    </row>
    <row r="8045" s="2" customFormat="1" ht="30" customHeight="1" spans="1:6">
      <c r="A8045" s="9">
        <v>8042</v>
      </c>
      <c r="B8045" s="10" t="s">
        <v>7527</v>
      </c>
      <c r="C8045" s="10" t="s">
        <v>7528</v>
      </c>
      <c r="D8045" s="10" t="s">
        <v>7690</v>
      </c>
      <c r="E8045" s="10" t="str">
        <f>"644020240514132049179010"</f>
        <v>644020240514132049179010</v>
      </c>
      <c r="F8045" s="9"/>
    </row>
    <row r="8046" s="2" customFormat="1" ht="30" customHeight="1" spans="1:6">
      <c r="A8046" s="9">
        <v>8043</v>
      </c>
      <c r="B8046" s="10" t="s">
        <v>7527</v>
      </c>
      <c r="C8046" s="10" t="s">
        <v>7528</v>
      </c>
      <c r="D8046" s="10" t="s">
        <v>7691</v>
      </c>
      <c r="E8046" s="10" t="str">
        <f>"644020240515142345181549"</f>
        <v>644020240515142345181549</v>
      </c>
      <c r="F8046" s="9"/>
    </row>
    <row r="8047" s="2" customFormat="1" ht="30" customHeight="1" spans="1:6">
      <c r="A8047" s="9">
        <v>8044</v>
      </c>
      <c r="B8047" s="10" t="s">
        <v>7527</v>
      </c>
      <c r="C8047" s="10" t="s">
        <v>7528</v>
      </c>
      <c r="D8047" s="10" t="s">
        <v>7692</v>
      </c>
      <c r="E8047" s="10" t="str">
        <f>"644020240513152415175414"</f>
        <v>644020240513152415175414</v>
      </c>
      <c r="F8047" s="9"/>
    </row>
    <row r="8048" s="2" customFormat="1" ht="30" customHeight="1" spans="1:6">
      <c r="A8048" s="9">
        <v>8045</v>
      </c>
      <c r="B8048" s="10" t="s">
        <v>7527</v>
      </c>
      <c r="C8048" s="10" t="s">
        <v>7528</v>
      </c>
      <c r="D8048" s="10" t="s">
        <v>7693</v>
      </c>
      <c r="E8048" s="10" t="str">
        <f>"644020240514085229177922"</f>
        <v>644020240514085229177922</v>
      </c>
      <c r="F8048" s="9"/>
    </row>
    <row r="8049" s="2" customFormat="1" ht="30" customHeight="1" spans="1:6">
      <c r="A8049" s="9">
        <v>8046</v>
      </c>
      <c r="B8049" s="10" t="s">
        <v>7527</v>
      </c>
      <c r="C8049" s="10" t="s">
        <v>7528</v>
      </c>
      <c r="D8049" s="10" t="s">
        <v>7694</v>
      </c>
      <c r="E8049" s="10" t="str">
        <f>"644020240515160121181782"</f>
        <v>644020240515160121181782</v>
      </c>
      <c r="F8049" s="9"/>
    </row>
    <row r="8050" s="2" customFormat="1" ht="30" customHeight="1" spans="1:6">
      <c r="A8050" s="9">
        <v>8047</v>
      </c>
      <c r="B8050" s="10" t="s">
        <v>7527</v>
      </c>
      <c r="C8050" s="10" t="s">
        <v>7528</v>
      </c>
      <c r="D8050" s="10" t="s">
        <v>7695</v>
      </c>
      <c r="E8050" s="10" t="str">
        <f>"644020240515162223181838"</f>
        <v>644020240515162223181838</v>
      </c>
      <c r="F8050" s="9"/>
    </row>
    <row r="8051" s="2" customFormat="1" ht="30" customHeight="1" spans="1:6">
      <c r="A8051" s="9">
        <v>8048</v>
      </c>
      <c r="B8051" s="10" t="s">
        <v>7527</v>
      </c>
      <c r="C8051" s="10" t="s">
        <v>7528</v>
      </c>
      <c r="D8051" s="10" t="s">
        <v>7696</v>
      </c>
      <c r="E8051" s="10" t="str">
        <f>"644020240515081051180673"</f>
        <v>644020240515081051180673</v>
      </c>
      <c r="F8051" s="9"/>
    </row>
    <row r="8052" s="2" customFormat="1" ht="30" customHeight="1" spans="1:6">
      <c r="A8052" s="9">
        <v>8049</v>
      </c>
      <c r="B8052" s="10" t="s">
        <v>7527</v>
      </c>
      <c r="C8052" s="10" t="s">
        <v>7528</v>
      </c>
      <c r="D8052" s="10" t="s">
        <v>7697</v>
      </c>
      <c r="E8052" s="10" t="str">
        <f>"644020240512170228170118"</f>
        <v>644020240512170228170118</v>
      </c>
      <c r="F8052" s="9"/>
    </row>
    <row r="8053" s="2" customFormat="1" ht="30" customHeight="1" spans="1:6">
      <c r="A8053" s="9">
        <v>8050</v>
      </c>
      <c r="B8053" s="10" t="s">
        <v>7527</v>
      </c>
      <c r="C8053" s="10" t="s">
        <v>7528</v>
      </c>
      <c r="D8053" s="10" t="s">
        <v>7698</v>
      </c>
      <c r="E8053" s="10" t="str">
        <f>"644020240515171204181977"</f>
        <v>644020240515171204181977</v>
      </c>
      <c r="F8053" s="9"/>
    </row>
    <row r="8054" s="2" customFormat="1" ht="30" customHeight="1" spans="1:6">
      <c r="A8054" s="9">
        <v>8051</v>
      </c>
      <c r="B8054" s="10" t="s">
        <v>7527</v>
      </c>
      <c r="C8054" s="10" t="s">
        <v>7528</v>
      </c>
      <c r="D8054" s="10" t="s">
        <v>7699</v>
      </c>
      <c r="E8054" s="10" t="str">
        <f>"644020240512191845170559"</f>
        <v>644020240512191845170559</v>
      </c>
      <c r="F8054" s="9"/>
    </row>
    <row r="8055" s="2" customFormat="1" ht="30" customHeight="1" spans="1:6">
      <c r="A8055" s="9">
        <v>8052</v>
      </c>
      <c r="B8055" s="10" t="s">
        <v>7527</v>
      </c>
      <c r="C8055" s="10" t="s">
        <v>7528</v>
      </c>
      <c r="D8055" s="10" t="s">
        <v>7700</v>
      </c>
      <c r="E8055" s="10" t="str">
        <f>"644020240515094838180910"</f>
        <v>644020240515094838180910</v>
      </c>
      <c r="F8055" s="9"/>
    </row>
    <row r="8056" s="2" customFormat="1" ht="30" customHeight="1" spans="1:6">
      <c r="A8056" s="9">
        <v>8053</v>
      </c>
      <c r="B8056" s="10" t="s">
        <v>7527</v>
      </c>
      <c r="C8056" s="10" t="s">
        <v>7528</v>
      </c>
      <c r="D8056" s="10" t="s">
        <v>5332</v>
      </c>
      <c r="E8056" s="10" t="str">
        <f>"644020240515200100182216"</f>
        <v>644020240515200100182216</v>
      </c>
      <c r="F8056" s="9"/>
    </row>
    <row r="8057" s="2" customFormat="1" ht="30" customHeight="1" spans="1:6">
      <c r="A8057" s="9">
        <v>8054</v>
      </c>
      <c r="B8057" s="10" t="s">
        <v>7527</v>
      </c>
      <c r="C8057" s="10" t="s">
        <v>7528</v>
      </c>
      <c r="D8057" s="10" t="s">
        <v>7701</v>
      </c>
      <c r="E8057" s="10" t="str">
        <f>"644020240515202050182246"</f>
        <v>644020240515202050182246</v>
      </c>
      <c r="F8057" s="9"/>
    </row>
    <row r="8058" s="2" customFormat="1" ht="30" customHeight="1" spans="1:6">
      <c r="A8058" s="9">
        <v>8055</v>
      </c>
      <c r="B8058" s="10" t="s">
        <v>7527</v>
      </c>
      <c r="C8058" s="10" t="s">
        <v>7528</v>
      </c>
      <c r="D8058" s="10" t="s">
        <v>7702</v>
      </c>
      <c r="E8058" s="10" t="str">
        <f>"644020240515201622182240"</f>
        <v>644020240515201622182240</v>
      </c>
      <c r="F8058" s="9"/>
    </row>
    <row r="8059" s="2" customFormat="1" ht="30" customHeight="1" spans="1:6">
      <c r="A8059" s="9">
        <v>8056</v>
      </c>
      <c r="B8059" s="10" t="s">
        <v>7527</v>
      </c>
      <c r="C8059" s="10" t="s">
        <v>7528</v>
      </c>
      <c r="D8059" s="10" t="s">
        <v>7703</v>
      </c>
      <c r="E8059" s="10" t="str">
        <f>"644020240512230706171716"</f>
        <v>644020240512230706171716</v>
      </c>
      <c r="F8059" s="9"/>
    </row>
    <row r="8060" s="2" customFormat="1" ht="30" customHeight="1" spans="1:6">
      <c r="A8060" s="9">
        <v>8057</v>
      </c>
      <c r="B8060" s="10" t="s">
        <v>7527</v>
      </c>
      <c r="C8060" s="10" t="s">
        <v>7528</v>
      </c>
      <c r="D8060" s="10" t="s">
        <v>7704</v>
      </c>
      <c r="E8060" s="10" t="str">
        <f>"644020240515220345182342"</f>
        <v>644020240515220345182342</v>
      </c>
      <c r="F8060" s="9"/>
    </row>
    <row r="8061" s="2" customFormat="1" ht="30" customHeight="1" spans="1:6">
      <c r="A8061" s="9">
        <v>8058</v>
      </c>
      <c r="B8061" s="10" t="s">
        <v>7527</v>
      </c>
      <c r="C8061" s="10" t="s">
        <v>7528</v>
      </c>
      <c r="D8061" s="10" t="s">
        <v>7705</v>
      </c>
      <c r="E8061" s="10" t="str">
        <f>"644020240515154701181739"</f>
        <v>644020240515154701181739</v>
      </c>
      <c r="F8061" s="9"/>
    </row>
    <row r="8062" s="2" customFormat="1" ht="30" customHeight="1" spans="1:6">
      <c r="A8062" s="9">
        <v>8059</v>
      </c>
      <c r="B8062" s="10" t="s">
        <v>7527</v>
      </c>
      <c r="C8062" s="10" t="s">
        <v>7528</v>
      </c>
      <c r="D8062" s="10" t="s">
        <v>7706</v>
      </c>
      <c r="E8062" s="10" t="str">
        <f>"644020240514104911178551"</f>
        <v>644020240514104911178551</v>
      </c>
      <c r="F8062" s="9"/>
    </row>
    <row r="8063" s="2" customFormat="1" ht="30" customHeight="1" spans="1:6">
      <c r="A8063" s="9">
        <v>8060</v>
      </c>
      <c r="B8063" s="10" t="s">
        <v>7527</v>
      </c>
      <c r="C8063" s="10" t="s">
        <v>7528</v>
      </c>
      <c r="D8063" s="10" t="s">
        <v>7707</v>
      </c>
      <c r="E8063" s="10" t="str">
        <f>"644020240514220843180314"</f>
        <v>644020240514220843180314</v>
      </c>
      <c r="F8063" s="9"/>
    </row>
    <row r="8064" s="2" customFormat="1" ht="30" customHeight="1" spans="1:6">
      <c r="A8064" s="9">
        <v>8061</v>
      </c>
      <c r="B8064" s="10" t="s">
        <v>7527</v>
      </c>
      <c r="C8064" s="10" t="s">
        <v>7528</v>
      </c>
      <c r="D8064" s="10" t="s">
        <v>7708</v>
      </c>
      <c r="E8064" s="10" t="str">
        <f>"644020240513225349177464"</f>
        <v>644020240513225349177464</v>
      </c>
      <c r="F8064" s="9"/>
    </row>
    <row r="8065" s="2" customFormat="1" ht="30" customHeight="1" spans="1:6">
      <c r="A8065" s="9">
        <v>8062</v>
      </c>
      <c r="B8065" s="10" t="s">
        <v>7527</v>
      </c>
      <c r="C8065" s="10" t="s">
        <v>7528</v>
      </c>
      <c r="D8065" s="10" t="s">
        <v>2243</v>
      </c>
      <c r="E8065" s="10" t="str">
        <f>"644020240515231822182546"</f>
        <v>644020240515231822182546</v>
      </c>
      <c r="F8065" s="9"/>
    </row>
    <row r="8066" s="2" customFormat="1" ht="30" customHeight="1" spans="1:6">
      <c r="A8066" s="9">
        <v>8063</v>
      </c>
      <c r="B8066" s="10" t="s">
        <v>7527</v>
      </c>
      <c r="C8066" s="10" t="s">
        <v>7528</v>
      </c>
      <c r="D8066" s="10" t="s">
        <v>4692</v>
      </c>
      <c r="E8066" s="10" t="str">
        <f>"644020240515231700182542"</f>
        <v>644020240515231700182542</v>
      </c>
      <c r="F8066" s="9"/>
    </row>
    <row r="8067" s="2" customFormat="1" ht="30" customHeight="1" spans="1:6">
      <c r="A8067" s="9">
        <v>8064</v>
      </c>
      <c r="B8067" s="10" t="s">
        <v>7527</v>
      </c>
      <c r="C8067" s="10" t="s">
        <v>7528</v>
      </c>
      <c r="D8067" s="10" t="s">
        <v>7709</v>
      </c>
      <c r="E8067" s="10" t="str">
        <f>"644020240515154530181736"</f>
        <v>644020240515154530181736</v>
      </c>
      <c r="F8067" s="9"/>
    </row>
    <row r="8068" s="2" customFormat="1" ht="30" customHeight="1" spans="1:6">
      <c r="A8068" s="9">
        <v>8065</v>
      </c>
      <c r="B8068" s="10" t="s">
        <v>7527</v>
      </c>
      <c r="C8068" s="10" t="s">
        <v>7528</v>
      </c>
      <c r="D8068" s="10" t="s">
        <v>7710</v>
      </c>
      <c r="E8068" s="10" t="str">
        <f>"644020240512232717171811"</f>
        <v>644020240512232717171811</v>
      </c>
      <c r="F8068" s="9"/>
    </row>
    <row r="8069" s="2" customFormat="1" ht="30" customHeight="1" spans="1:6">
      <c r="A8069" s="9">
        <v>8066</v>
      </c>
      <c r="B8069" s="10" t="s">
        <v>7527</v>
      </c>
      <c r="C8069" s="10" t="s">
        <v>7528</v>
      </c>
      <c r="D8069" s="10" t="s">
        <v>7711</v>
      </c>
      <c r="E8069" s="10" t="str">
        <f>"644020240516011819182686"</f>
        <v>644020240516011819182686</v>
      </c>
      <c r="F8069" s="9"/>
    </row>
    <row r="8070" s="2" customFormat="1" ht="30" customHeight="1" spans="1:6">
      <c r="A8070" s="9">
        <v>8067</v>
      </c>
      <c r="B8070" s="10" t="s">
        <v>7527</v>
      </c>
      <c r="C8070" s="10" t="s">
        <v>7528</v>
      </c>
      <c r="D8070" s="10" t="s">
        <v>7712</v>
      </c>
      <c r="E8070" s="10" t="str">
        <f>"644020240516073557182723"</f>
        <v>644020240516073557182723</v>
      </c>
      <c r="F8070" s="9"/>
    </row>
    <row r="8071" s="2" customFormat="1" ht="30" customHeight="1" spans="1:6">
      <c r="A8071" s="9">
        <v>8068</v>
      </c>
      <c r="B8071" s="10" t="s">
        <v>7527</v>
      </c>
      <c r="C8071" s="10" t="s">
        <v>7528</v>
      </c>
      <c r="D8071" s="10" t="s">
        <v>7713</v>
      </c>
      <c r="E8071" s="10" t="str">
        <f>"644020240515094201180889"</f>
        <v>644020240515094201180889</v>
      </c>
      <c r="F8071" s="9"/>
    </row>
    <row r="8072" s="2" customFormat="1" ht="30" customHeight="1" spans="1:6">
      <c r="A8072" s="9">
        <v>8069</v>
      </c>
      <c r="B8072" s="10" t="s">
        <v>7527</v>
      </c>
      <c r="C8072" s="10" t="s">
        <v>7528</v>
      </c>
      <c r="D8072" s="10" t="s">
        <v>7714</v>
      </c>
      <c r="E8072" s="10" t="str">
        <f>"644020240515112122181214"</f>
        <v>644020240515112122181214</v>
      </c>
      <c r="F8072" s="9"/>
    </row>
    <row r="8073" s="2" customFormat="1" ht="30" customHeight="1" spans="1:6">
      <c r="A8073" s="9">
        <v>8070</v>
      </c>
      <c r="B8073" s="10" t="s">
        <v>7527</v>
      </c>
      <c r="C8073" s="10" t="s">
        <v>7528</v>
      </c>
      <c r="D8073" s="10" t="s">
        <v>7715</v>
      </c>
      <c r="E8073" s="10" t="str">
        <f>"644020240516093130182880"</f>
        <v>644020240516093130182880</v>
      </c>
      <c r="F8073" s="9"/>
    </row>
    <row r="8074" s="2" customFormat="1" ht="30" customHeight="1" spans="1:6">
      <c r="A8074" s="9">
        <v>8071</v>
      </c>
      <c r="B8074" s="10" t="s">
        <v>7527</v>
      </c>
      <c r="C8074" s="10" t="s">
        <v>7528</v>
      </c>
      <c r="D8074" s="10" t="s">
        <v>6090</v>
      </c>
      <c r="E8074" s="10" t="str">
        <f>"644020240512201741170784"</f>
        <v>644020240512201741170784</v>
      </c>
      <c r="F8074" s="9"/>
    </row>
    <row r="8075" s="2" customFormat="1" ht="30" customHeight="1" spans="1:6">
      <c r="A8075" s="9">
        <v>8072</v>
      </c>
      <c r="B8075" s="10" t="s">
        <v>7527</v>
      </c>
      <c r="C8075" s="10" t="s">
        <v>7528</v>
      </c>
      <c r="D8075" s="10" t="s">
        <v>7716</v>
      </c>
      <c r="E8075" s="10" t="str">
        <f>"644020240516100840182973"</f>
        <v>644020240516100840182973</v>
      </c>
      <c r="F8075" s="9"/>
    </row>
    <row r="8076" s="2" customFormat="1" ht="30" customHeight="1" spans="1:6">
      <c r="A8076" s="9">
        <v>8073</v>
      </c>
      <c r="B8076" s="10" t="s">
        <v>7527</v>
      </c>
      <c r="C8076" s="10" t="s">
        <v>7528</v>
      </c>
      <c r="D8076" s="10" t="s">
        <v>7717</v>
      </c>
      <c r="E8076" s="10" t="str">
        <f>"644020240515093857180879"</f>
        <v>644020240515093857180879</v>
      </c>
      <c r="F8076" s="9"/>
    </row>
    <row r="8077" s="2" customFormat="1" ht="30" customHeight="1" spans="1:6">
      <c r="A8077" s="9">
        <v>8074</v>
      </c>
      <c r="B8077" s="10" t="s">
        <v>7527</v>
      </c>
      <c r="C8077" s="10" t="s">
        <v>7528</v>
      </c>
      <c r="D8077" s="10" t="s">
        <v>7718</v>
      </c>
      <c r="E8077" s="10" t="str">
        <f>"644020240516101308182981"</f>
        <v>644020240516101308182981</v>
      </c>
      <c r="F8077" s="9"/>
    </row>
    <row r="8078" s="2" customFormat="1" ht="30" customHeight="1" spans="1:6">
      <c r="A8078" s="9">
        <v>8075</v>
      </c>
      <c r="B8078" s="10" t="s">
        <v>7527</v>
      </c>
      <c r="C8078" s="10" t="s">
        <v>7528</v>
      </c>
      <c r="D8078" s="10" t="s">
        <v>7719</v>
      </c>
      <c r="E8078" s="10" t="str">
        <f>"644020240516101705182993"</f>
        <v>644020240516101705182993</v>
      </c>
      <c r="F8078" s="9"/>
    </row>
    <row r="8079" s="2" customFormat="1" ht="30" customHeight="1" spans="1:6">
      <c r="A8079" s="9">
        <v>8076</v>
      </c>
      <c r="B8079" s="10" t="s">
        <v>7527</v>
      </c>
      <c r="C8079" s="10" t="s">
        <v>7528</v>
      </c>
      <c r="D8079" s="10" t="s">
        <v>3865</v>
      </c>
      <c r="E8079" s="10" t="str">
        <f>"644020240516094619182911"</f>
        <v>644020240516094619182911</v>
      </c>
      <c r="F8079" s="9"/>
    </row>
    <row r="8080" s="2" customFormat="1" ht="30" customHeight="1" spans="1:6">
      <c r="A8080" s="9">
        <v>8077</v>
      </c>
      <c r="B8080" s="10" t="s">
        <v>7527</v>
      </c>
      <c r="C8080" s="10" t="s">
        <v>7528</v>
      </c>
      <c r="D8080" s="10" t="s">
        <v>7720</v>
      </c>
      <c r="E8080" s="10" t="str">
        <f>"644020240516095011182927"</f>
        <v>644020240516095011182927</v>
      </c>
      <c r="F8080" s="9"/>
    </row>
    <row r="8081" s="2" customFormat="1" ht="30" customHeight="1" spans="1:6">
      <c r="A8081" s="9">
        <v>8078</v>
      </c>
      <c r="B8081" s="10" t="s">
        <v>7527</v>
      </c>
      <c r="C8081" s="10" t="s">
        <v>7528</v>
      </c>
      <c r="D8081" s="10" t="s">
        <v>7721</v>
      </c>
      <c r="E8081" s="10" t="str">
        <f>"644020240515182715182090"</f>
        <v>644020240515182715182090</v>
      </c>
      <c r="F8081" s="9"/>
    </row>
    <row r="8082" s="2" customFormat="1" ht="30" customHeight="1" spans="1:6">
      <c r="A8082" s="9">
        <v>8079</v>
      </c>
      <c r="B8082" s="10" t="s">
        <v>7527</v>
      </c>
      <c r="C8082" s="10" t="s">
        <v>7528</v>
      </c>
      <c r="D8082" s="10" t="s">
        <v>7722</v>
      </c>
      <c r="E8082" s="10" t="str">
        <f>"644020240516094720182917"</f>
        <v>644020240516094720182917</v>
      </c>
      <c r="F8082" s="9"/>
    </row>
    <row r="8083" s="2" customFormat="1" ht="30" customHeight="1" spans="1:6">
      <c r="A8083" s="9">
        <v>8080</v>
      </c>
      <c r="B8083" s="10" t="s">
        <v>7527</v>
      </c>
      <c r="C8083" s="10" t="s">
        <v>7528</v>
      </c>
      <c r="D8083" s="10" t="s">
        <v>7723</v>
      </c>
      <c r="E8083" s="10" t="str">
        <f>"644020240516110308183111"</f>
        <v>644020240516110308183111</v>
      </c>
      <c r="F8083" s="9"/>
    </row>
    <row r="8084" s="2" customFormat="1" ht="30" customHeight="1" spans="1:6">
      <c r="A8084" s="9">
        <v>8081</v>
      </c>
      <c r="B8084" s="10" t="s">
        <v>7527</v>
      </c>
      <c r="C8084" s="10" t="s">
        <v>7528</v>
      </c>
      <c r="D8084" s="10" t="s">
        <v>7724</v>
      </c>
      <c r="E8084" s="10" t="str">
        <f>"644020240516101753182997"</f>
        <v>644020240516101753182997</v>
      </c>
      <c r="F8084" s="9"/>
    </row>
    <row r="8085" s="2" customFormat="1" ht="30" customHeight="1" spans="1:6">
      <c r="A8085" s="9">
        <v>8082</v>
      </c>
      <c r="B8085" s="10" t="s">
        <v>7527</v>
      </c>
      <c r="C8085" s="10" t="s">
        <v>7528</v>
      </c>
      <c r="D8085" s="10" t="s">
        <v>7725</v>
      </c>
      <c r="E8085" s="10" t="str">
        <f>"644020240516111149183138"</f>
        <v>644020240516111149183138</v>
      </c>
      <c r="F8085" s="9"/>
    </row>
    <row r="8086" s="2" customFormat="1" ht="30" customHeight="1" spans="1:6">
      <c r="A8086" s="9">
        <v>8083</v>
      </c>
      <c r="B8086" s="10" t="s">
        <v>7527</v>
      </c>
      <c r="C8086" s="10" t="s">
        <v>7528</v>
      </c>
      <c r="D8086" s="10" t="s">
        <v>7726</v>
      </c>
      <c r="E8086" s="10" t="str">
        <f>"644020240516111346183142"</f>
        <v>644020240516111346183142</v>
      </c>
      <c r="F8086" s="9"/>
    </row>
    <row r="8087" s="2" customFormat="1" ht="30" customHeight="1" spans="1:6">
      <c r="A8087" s="9">
        <v>8084</v>
      </c>
      <c r="B8087" s="10" t="s">
        <v>7527</v>
      </c>
      <c r="C8087" s="10" t="s">
        <v>7528</v>
      </c>
      <c r="D8087" s="10" t="s">
        <v>7727</v>
      </c>
      <c r="E8087" s="10" t="str">
        <f>"644020240516121242183251"</f>
        <v>644020240516121242183251</v>
      </c>
      <c r="F8087" s="9"/>
    </row>
    <row r="8088" s="2" customFormat="1" ht="30" customHeight="1" spans="1:6">
      <c r="A8088" s="9">
        <v>8085</v>
      </c>
      <c r="B8088" s="10" t="s">
        <v>7527</v>
      </c>
      <c r="C8088" s="10" t="s">
        <v>7528</v>
      </c>
      <c r="D8088" s="10" t="s">
        <v>7728</v>
      </c>
      <c r="E8088" s="10" t="str">
        <f>"644020240512173945170245"</f>
        <v>644020240512173945170245</v>
      </c>
      <c r="F8088" s="9"/>
    </row>
    <row r="8089" s="2" customFormat="1" ht="30" customHeight="1" spans="1:6">
      <c r="A8089" s="9">
        <v>8086</v>
      </c>
      <c r="B8089" s="10" t="s">
        <v>7527</v>
      </c>
      <c r="C8089" s="10" t="s">
        <v>7528</v>
      </c>
      <c r="D8089" s="10" t="s">
        <v>4411</v>
      </c>
      <c r="E8089" s="10" t="str">
        <f>"644020240516123232183287"</f>
        <v>644020240516123232183287</v>
      </c>
      <c r="F8089" s="9"/>
    </row>
    <row r="8090" s="2" customFormat="1" ht="30" customHeight="1" spans="1:6">
      <c r="A8090" s="9">
        <v>8087</v>
      </c>
      <c r="B8090" s="10" t="s">
        <v>7527</v>
      </c>
      <c r="C8090" s="10" t="s">
        <v>7528</v>
      </c>
      <c r="D8090" s="10" t="s">
        <v>7729</v>
      </c>
      <c r="E8090" s="10" t="str">
        <f>"644020240516122559183275"</f>
        <v>644020240516122559183275</v>
      </c>
      <c r="F8090" s="9"/>
    </row>
    <row r="8091" s="2" customFormat="1" ht="30" customHeight="1" spans="1:6">
      <c r="A8091" s="9">
        <v>8088</v>
      </c>
      <c r="B8091" s="10" t="s">
        <v>7527</v>
      </c>
      <c r="C8091" s="10" t="s">
        <v>7528</v>
      </c>
      <c r="D8091" s="10" t="s">
        <v>7730</v>
      </c>
      <c r="E8091" s="10" t="str">
        <f>"644020240516100428182963"</f>
        <v>644020240516100428182963</v>
      </c>
      <c r="F8091" s="9"/>
    </row>
    <row r="8092" s="2" customFormat="1" ht="30" customHeight="1" spans="1:6">
      <c r="A8092" s="9">
        <v>8089</v>
      </c>
      <c r="B8092" s="10" t="s">
        <v>7527</v>
      </c>
      <c r="C8092" s="10" t="s">
        <v>7528</v>
      </c>
      <c r="D8092" s="10" t="s">
        <v>7731</v>
      </c>
      <c r="E8092" s="10" t="str">
        <f>"644020240515130520181426"</f>
        <v>644020240515130520181426</v>
      </c>
      <c r="F8092" s="9"/>
    </row>
    <row r="8093" s="2" customFormat="1" ht="30" customHeight="1" spans="1:6">
      <c r="A8093" s="9">
        <v>8090</v>
      </c>
      <c r="B8093" s="10" t="s">
        <v>7527</v>
      </c>
      <c r="C8093" s="10" t="s">
        <v>7528</v>
      </c>
      <c r="D8093" s="10" t="s">
        <v>7732</v>
      </c>
      <c r="E8093" s="10" t="str">
        <f>"644020240516130234183336"</f>
        <v>644020240516130234183336</v>
      </c>
      <c r="F8093" s="9"/>
    </row>
    <row r="8094" s="2" customFormat="1" ht="30" customHeight="1" spans="1:6">
      <c r="A8094" s="9">
        <v>8091</v>
      </c>
      <c r="B8094" s="10" t="s">
        <v>7527</v>
      </c>
      <c r="C8094" s="10" t="s">
        <v>7528</v>
      </c>
      <c r="D8094" s="10" t="s">
        <v>7733</v>
      </c>
      <c r="E8094" s="10" t="str">
        <f>"644020240516130944183346"</f>
        <v>644020240516130944183346</v>
      </c>
      <c r="F8094" s="9"/>
    </row>
    <row r="8095" s="2" customFormat="1" ht="30" customHeight="1" spans="1:6">
      <c r="A8095" s="9">
        <v>8092</v>
      </c>
      <c r="B8095" s="10" t="s">
        <v>7527</v>
      </c>
      <c r="C8095" s="10" t="s">
        <v>7528</v>
      </c>
      <c r="D8095" s="10" t="s">
        <v>7734</v>
      </c>
      <c r="E8095" s="10" t="str">
        <f>"644020240516134359183387"</f>
        <v>644020240516134359183387</v>
      </c>
      <c r="F8095" s="9"/>
    </row>
    <row r="8096" s="2" customFormat="1" ht="30" customHeight="1" spans="1:6">
      <c r="A8096" s="9">
        <v>8093</v>
      </c>
      <c r="B8096" s="10" t="s">
        <v>7527</v>
      </c>
      <c r="C8096" s="10" t="s">
        <v>7528</v>
      </c>
      <c r="D8096" s="10" t="s">
        <v>7735</v>
      </c>
      <c r="E8096" s="10" t="str">
        <f>"644020240515233633182586"</f>
        <v>644020240515233633182586</v>
      </c>
      <c r="F8096" s="9"/>
    </row>
    <row r="8097" s="2" customFormat="1" ht="30" customHeight="1" spans="1:6">
      <c r="A8097" s="9">
        <v>8094</v>
      </c>
      <c r="B8097" s="10" t="s">
        <v>7527</v>
      </c>
      <c r="C8097" s="10" t="s">
        <v>7528</v>
      </c>
      <c r="D8097" s="10" t="s">
        <v>7736</v>
      </c>
      <c r="E8097" s="10" t="str">
        <f>"644020240514143559179137"</f>
        <v>644020240514143559179137</v>
      </c>
      <c r="F8097" s="9"/>
    </row>
    <row r="8098" s="2" customFormat="1" ht="30" customHeight="1" spans="1:6">
      <c r="A8098" s="9">
        <v>8095</v>
      </c>
      <c r="B8098" s="10" t="s">
        <v>7527</v>
      </c>
      <c r="C8098" s="10" t="s">
        <v>7528</v>
      </c>
      <c r="D8098" s="10" t="s">
        <v>7737</v>
      </c>
      <c r="E8098" s="10" t="str">
        <f>"644020240515110334181159"</f>
        <v>644020240515110334181159</v>
      </c>
      <c r="F8098" s="9"/>
    </row>
    <row r="8099" s="2" customFormat="1" ht="30" customHeight="1" spans="1:6">
      <c r="A8099" s="9">
        <v>8096</v>
      </c>
      <c r="B8099" s="10" t="s">
        <v>7527</v>
      </c>
      <c r="C8099" s="10" t="s">
        <v>7528</v>
      </c>
      <c r="D8099" s="10" t="s">
        <v>7738</v>
      </c>
      <c r="E8099" s="10" t="str">
        <f>"644020240516104907183074"</f>
        <v>644020240516104907183074</v>
      </c>
      <c r="F8099" s="9"/>
    </row>
    <row r="8100" s="2" customFormat="1" ht="30" customHeight="1" spans="1:6">
      <c r="A8100" s="9">
        <v>8097</v>
      </c>
      <c r="B8100" s="10" t="s">
        <v>7527</v>
      </c>
      <c r="C8100" s="10" t="s">
        <v>7528</v>
      </c>
      <c r="D8100" s="10" t="s">
        <v>7739</v>
      </c>
      <c r="E8100" s="10" t="str">
        <f>"644020240516153255183554"</f>
        <v>644020240516153255183554</v>
      </c>
      <c r="F8100" s="9"/>
    </row>
    <row r="8101" s="2" customFormat="1" ht="30" customHeight="1" spans="1:6">
      <c r="A8101" s="9">
        <v>8098</v>
      </c>
      <c r="B8101" s="10" t="s">
        <v>7527</v>
      </c>
      <c r="C8101" s="10" t="s">
        <v>7528</v>
      </c>
      <c r="D8101" s="10" t="s">
        <v>7740</v>
      </c>
      <c r="E8101" s="10" t="str">
        <f>"644020240513153604175529"</f>
        <v>644020240513153604175529</v>
      </c>
      <c r="F8101" s="9"/>
    </row>
    <row r="8102" s="2" customFormat="1" ht="30" customHeight="1" spans="1:6">
      <c r="A8102" s="9">
        <v>8099</v>
      </c>
      <c r="B8102" s="10" t="s">
        <v>7527</v>
      </c>
      <c r="C8102" s="10" t="s">
        <v>7528</v>
      </c>
      <c r="D8102" s="10" t="s">
        <v>7741</v>
      </c>
      <c r="E8102" s="10" t="str">
        <f>"644020240516161554183653"</f>
        <v>644020240516161554183653</v>
      </c>
      <c r="F8102" s="9"/>
    </row>
    <row r="8103" s="2" customFormat="1" ht="30" customHeight="1" spans="1:6">
      <c r="A8103" s="9">
        <v>8100</v>
      </c>
      <c r="B8103" s="10" t="s">
        <v>7527</v>
      </c>
      <c r="C8103" s="10" t="s">
        <v>7528</v>
      </c>
      <c r="D8103" s="10" t="s">
        <v>7742</v>
      </c>
      <c r="E8103" s="10" t="str">
        <f>"644020240516164642183727"</f>
        <v>644020240516164642183727</v>
      </c>
      <c r="F8103" s="9"/>
    </row>
    <row r="8104" s="2" customFormat="1" ht="30" customHeight="1" spans="1:6">
      <c r="A8104" s="9">
        <v>8101</v>
      </c>
      <c r="B8104" s="10" t="s">
        <v>7527</v>
      </c>
      <c r="C8104" s="10" t="s">
        <v>7528</v>
      </c>
      <c r="D8104" s="10" t="s">
        <v>7743</v>
      </c>
      <c r="E8104" s="10" t="str">
        <f>"644020240516175003183865"</f>
        <v>644020240516175003183865</v>
      </c>
      <c r="F8104" s="9"/>
    </row>
    <row r="8105" s="2" customFormat="1" ht="30" customHeight="1" spans="1:6">
      <c r="A8105" s="9">
        <v>8102</v>
      </c>
      <c r="B8105" s="10" t="s">
        <v>7527</v>
      </c>
      <c r="C8105" s="10" t="s">
        <v>7528</v>
      </c>
      <c r="D8105" s="10" t="s">
        <v>7744</v>
      </c>
      <c r="E8105" s="10" t="str">
        <f>"644020240516150513183491"</f>
        <v>644020240516150513183491</v>
      </c>
      <c r="F8105" s="9"/>
    </row>
    <row r="8106" s="2" customFormat="1" ht="30" customHeight="1" spans="1:6">
      <c r="A8106" s="9">
        <v>8103</v>
      </c>
      <c r="B8106" s="10" t="s">
        <v>7527</v>
      </c>
      <c r="C8106" s="10" t="s">
        <v>7528</v>
      </c>
      <c r="D8106" s="10" t="s">
        <v>7745</v>
      </c>
      <c r="E8106" s="10" t="str">
        <f>"644020240516180630183892"</f>
        <v>644020240516180630183892</v>
      </c>
      <c r="F8106" s="9"/>
    </row>
    <row r="8107" s="2" customFormat="1" ht="30" customHeight="1" spans="1:6">
      <c r="A8107" s="9">
        <v>8104</v>
      </c>
      <c r="B8107" s="10" t="s">
        <v>7527</v>
      </c>
      <c r="C8107" s="10" t="s">
        <v>7528</v>
      </c>
      <c r="D8107" s="10" t="s">
        <v>7746</v>
      </c>
      <c r="E8107" s="10" t="str">
        <f>"644020240516121044183244"</f>
        <v>644020240516121044183244</v>
      </c>
      <c r="F8107" s="9"/>
    </row>
    <row r="8108" s="2" customFormat="1" ht="30" customHeight="1" spans="1:6">
      <c r="A8108" s="9">
        <v>8105</v>
      </c>
      <c r="B8108" s="10" t="s">
        <v>7527</v>
      </c>
      <c r="C8108" s="10" t="s">
        <v>7528</v>
      </c>
      <c r="D8108" s="10" t="s">
        <v>7747</v>
      </c>
      <c r="E8108" s="10" t="str">
        <f>"644020240515004334180609"</f>
        <v>644020240515004334180609</v>
      </c>
      <c r="F8108" s="9"/>
    </row>
    <row r="8109" s="2" customFormat="1" ht="30" customHeight="1" spans="1:6">
      <c r="A8109" s="9">
        <v>8106</v>
      </c>
      <c r="B8109" s="10" t="s">
        <v>7527</v>
      </c>
      <c r="C8109" s="10" t="s">
        <v>7528</v>
      </c>
      <c r="D8109" s="10" t="s">
        <v>7748</v>
      </c>
      <c r="E8109" s="10" t="str">
        <f>"644020240516184901183963"</f>
        <v>644020240516184901183963</v>
      </c>
      <c r="F8109" s="9"/>
    </row>
    <row r="8110" s="2" customFormat="1" ht="30" customHeight="1" spans="1:6">
      <c r="A8110" s="9">
        <v>8107</v>
      </c>
      <c r="B8110" s="10" t="s">
        <v>7527</v>
      </c>
      <c r="C8110" s="10" t="s">
        <v>7528</v>
      </c>
      <c r="D8110" s="10" t="s">
        <v>7749</v>
      </c>
      <c r="E8110" s="10" t="str">
        <f>"644020240514212434180185"</f>
        <v>644020240514212434180185</v>
      </c>
      <c r="F8110" s="9"/>
    </row>
    <row r="8111" s="2" customFormat="1" ht="30" customHeight="1" spans="1:6">
      <c r="A8111" s="9">
        <v>8108</v>
      </c>
      <c r="B8111" s="10" t="s">
        <v>7527</v>
      </c>
      <c r="C8111" s="10" t="s">
        <v>7528</v>
      </c>
      <c r="D8111" s="10" t="s">
        <v>7750</v>
      </c>
      <c r="E8111" s="10" t="str">
        <f>"644020240516202744184050"</f>
        <v>644020240516202744184050</v>
      </c>
      <c r="F8111" s="9"/>
    </row>
    <row r="8112" s="2" customFormat="1" ht="30" customHeight="1" spans="1:6">
      <c r="A8112" s="9">
        <v>8109</v>
      </c>
      <c r="B8112" s="10" t="s">
        <v>7527</v>
      </c>
      <c r="C8112" s="10" t="s">
        <v>7528</v>
      </c>
      <c r="D8112" s="10" t="s">
        <v>7751</v>
      </c>
      <c r="E8112" s="10" t="str">
        <f>"644020240516202728184047"</f>
        <v>644020240516202728184047</v>
      </c>
      <c r="F8112" s="9"/>
    </row>
    <row r="8113" s="2" customFormat="1" ht="30" customHeight="1" spans="1:6">
      <c r="A8113" s="9">
        <v>8110</v>
      </c>
      <c r="B8113" s="10" t="s">
        <v>7527</v>
      </c>
      <c r="C8113" s="10" t="s">
        <v>7528</v>
      </c>
      <c r="D8113" s="10" t="s">
        <v>7752</v>
      </c>
      <c r="E8113" s="10" t="str">
        <f>"644020240516213539184158"</f>
        <v>644020240516213539184158</v>
      </c>
      <c r="F8113" s="9"/>
    </row>
    <row r="8114" s="2" customFormat="1" ht="30" customHeight="1" spans="1:6">
      <c r="A8114" s="9">
        <v>8111</v>
      </c>
      <c r="B8114" s="10" t="s">
        <v>7527</v>
      </c>
      <c r="C8114" s="10" t="s">
        <v>7528</v>
      </c>
      <c r="D8114" s="10" t="s">
        <v>7753</v>
      </c>
      <c r="E8114" s="10" t="str">
        <f>"644020240516214924184188"</f>
        <v>644020240516214924184188</v>
      </c>
      <c r="F8114" s="9"/>
    </row>
    <row r="8115" s="2" customFormat="1" ht="30" customHeight="1" spans="1:6">
      <c r="A8115" s="9">
        <v>8112</v>
      </c>
      <c r="B8115" s="10" t="s">
        <v>7527</v>
      </c>
      <c r="C8115" s="10" t="s">
        <v>7528</v>
      </c>
      <c r="D8115" s="10" t="s">
        <v>7754</v>
      </c>
      <c r="E8115" s="10" t="str">
        <f>"644020240516203540184076"</f>
        <v>644020240516203540184076</v>
      </c>
      <c r="F8115" s="9"/>
    </row>
    <row r="8116" s="2" customFormat="1" ht="30" customHeight="1" spans="1:6">
      <c r="A8116" s="9">
        <v>8113</v>
      </c>
      <c r="B8116" s="10" t="s">
        <v>7527</v>
      </c>
      <c r="C8116" s="10" t="s">
        <v>7528</v>
      </c>
      <c r="D8116" s="10" t="s">
        <v>7755</v>
      </c>
      <c r="E8116" s="10" t="str">
        <f>"644020240516214634184184"</f>
        <v>644020240516214634184184</v>
      </c>
      <c r="F8116" s="9"/>
    </row>
    <row r="8117" s="2" customFormat="1" ht="30" customHeight="1" spans="1:6">
      <c r="A8117" s="9">
        <v>8114</v>
      </c>
      <c r="B8117" s="10" t="s">
        <v>7527</v>
      </c>
      <c r="C8117" s="10" t="s">
        <v>7528</v>
      </c>
      <c r="D8117" s="10" t="s">
        <v>7756</v>
      </c>
      <c r="E8117" s="10" t="str">
        <f>"644020240516224216184316"</f>
        <v>644020240516224216184316</v>
      </c>
      <c r="F8117" s="9"/>
    </row>
    <row r="8118" s="2" customFormat="1" ht="30" customHeight="1" spans="1:6">
      <c r="A8118" s="9">
        <v>8115</v>
      </c>
      <c r="B8118" s="10" t="s">
        <v>7527</v>
      </c>
      <c r="C8118" s="10" t="s">
        <v>7528</v>
      </c>
      <c r="D8118" s="10" t="s">
        <v>7757</v>
      </c>
      <c r="E8118" s="10" t="str">
        <f>"644020240516231529184382"</f>
        <v>644020240516231529184382</v>
      </c>
      <c r="F8118" s="9"/>
    </row>
    <row r="8119" s="2" customFormat="1" ht="30" customHeight="1" spans="1:6">
      <c r="A8119" s="9">
        <v>8116</v>
      </c>
      <c r="B8119" s="10" t="s">
        <v>7527</v>
      </c>
      <c r="C8119" s="10" t="s">
        <v>7528</v>
      </c>
      <c r="D8119" s="10" t="s">
        <v>5221</v>
      </c>
      <c r="E8119" s="10" t="str">
        <f>"644020240516224322184322"</f>
        <v>644020240516224322184322</v>
      </c>
      <c r="F8119" s="9"/>
    </row>
    <row r="8120" s="2" customFormat="1" ht="30" customHeight="1" spans="1:6">
      <c r="A8120" s="9">
        <v>8117</v>
      </c>
      <c r="B8120" s="10" t="s">
        <v>7527</v>
      </c>
      <c r="C8120" s="10" t="s">
        <v>7528</v>
      </c>
      <c r="D8120" s="10" t="s">
        <v>7758</v>
      </c>
      <c r="E8120" s="10" t="str">
        <f>"644020240516231702184384"</f>
        <v>644020240516231702184384</v>
      </c>
      <c r="F8120" s="9"/>
    </row>
    <row r="8121" s="2" customFormat="1" ht="30" customHeight="1" spans="1:6">
      <c r="A8121" s="9">
        <v>8118</v>
      </c>
      <c r="B8121" s="10" t="s">
        <v>7527</v>
      </c>
      <c r="C8121" s="10" t="s">
        <v>7528</v>
      </c>
      <c r="D8121" s="10" t="s">
        <v>7759</v>
      </c>
      <c r="E8121" s="10" t="str">
        <f>"644020240516103046183030"</f>
        <v>644020240516103046183030</v>
      </c>
      <c r="F8121" s="9"/>
    </row>
    <row r="8122" s="2" customFormat="1" ht="30" customHeight="1" spans="1:6">
      <c r="A8122" s="9">
        <v>8119</v>
      </c>
      <c r="B8122" s="10" t="s">
        <v>7527</v>
      </c>
      <c r="C8122" s="10" t="s">
        <v>7528</v>
      </c>
      <c r="D8122" s="10" t="s">
        <v>7760</v>
      </c>
      <c r="E8122" s="10" t="str">
        <f>"644020240516162828183692"</f>
        <v>644020240516162828183692</v>
      </c>
      <c r="F8122" s="9"/>
    </row>
    <row r="8123" s="2" customFormat="1" ht="30" customHeight="1" spans="1:6">
      <c r="A8123" s="9">
        <v>8120</v>
      </c>
      <c r="B8123" s="10" t="s">
        <v>7527</v>
      </c>
      <c r="C8123" s="10" t="s">
        <v>7528</v>
      </c>
      <c r="D8123" s="10" t="s">
        <v>7761</v>
      </c>
      <c r="E8123" s="10" t="str">
        <f>"644020240513090610172552"</f>
        <v>644020240513090610172552</v>
      </c>
      <c r="F8123" s="9"/>
    </row>
    <row r="8124" s="2" customFormat="1" ht="30" customHeight="1" spans="1:6">
      <c r="A8124" s="9">
        <v>8121</v>
      </c>
      <c r="B8124" s="10" t="s">
        <v>7527</v>
      </c>
      <c r="C8124" s="10" t="s">
        <v>7528</v>
      </c>
      <c r="D8124" s="10" t="s">
        <v>7762</v>
      </c>
      <c r="E8124" s="10" t="str">
        <f>"644020240516111847183156"</f>
        <v>644020240516111847183156</v>
      </c>
      <c r="F8124" s="9"/>
    </row>
    <row r="8125" s="2" customFormat="1" ht="30" customHeight="1" spans="1:6">
      <c r="A8125" s="9">
        <v>8122</v>
      </c>
      <c r="B8125" s="10" t="s">
        <v>7527</v>
      </c>
      <c r="C8125" s="10" t="s">
        <v>7528</v>
      </c>
      <c r="D8125" s="10" t="s">
        <v>7763</v>
      </c>
      <c r="E8125" s="10" t="str">
        <f>"644020240517082459184626"</f>
        <v>644020240517082459184626</v>
      </c>
      <c r="F8125" s="9"/>
    </row>
    <row r="8126" s="2" customFormat="1" ht="30" customHeight="1" spans="1:6">
      <c r="A8126" s="9">
        <v>8123</v>
      </c>
      <c r="B8126" s="10" t="s">
        <v>7527</v>
      </c>
      <c r="C8126" s="10" t="s">
        <v>7528</v>
      </c>
      <c r="D8126" s="10" t="s">
        <v>7764</v>
      </c>
      <c r="E8126" s="10" t="str">
        <f>"644020240517085407184675"</f>
        <v>644020240517085407184675</v>
      </c>
      <c r="F8126" s="9"/>
    </row>
    <row r="8127" s="2" customFormat="1" ht="30" customHeight="1" spans="1:6">
      <c r="A8127" s="9">
        <v>8124</v>
      </c>
      <c r="B8127" s="10" t="s">
        <v>7527</v>
      </c>
      <c r="C8127" s="10" t="s">
        <v>7528</v>
      </c>
      <c r="D8127" s="10" t="s">
        <v>7765</v>
      </c>
      <c r="E8127" s="10" t="str">
        <f>"644020240517092533184735"</f>
        <v>644020240517092533184735</v>
      </c>
      <c r="F8127" s="9"/>
    </row>
    <row r="8128" s="2" customFormat="1" ht="30" customHeight="1" spans="1:6">
      <c r="A8128" s="9">
        <v>8125</v>
      </c>
      <c r="B8128" s="10" t="s">
        <v>7527</v>
      </c>
      <c r="C8128" s="10" t="s">
        <v>7528</v>
      </c>
      <c r="D8128" s="10" t="s">
        <v>7766</v>
      </c>
      <c r="E8128" s="10" t="str">
        <f>"644020240516165306183752"</f>
        <v>644020240516165306183752</v>
      </c>
      <c r="F8128" s="9"/>
    </row>
    <row r="8129" s="2" customFormat="1" ht="30" customHeight="1" spans="1:6">
      <c r="A8129" s="9">
        <v>8126</v>
      </c>
      <c r="B8129" s="10" t="s">
        <v>7527</v>
      </c>
      <c r="C8129" s="10" t="s">
        <v>7528</v>
      </c>
      <c r="D8129" s="10" t="s">
        <v>7767</v>
      </c>
      <c r="E8129" s="10" t="str">
        <f>"644020240512211633171078"</f>
        <v>644020240512211633171078</v>
      </c>
      <c r="F8129" s="9"/>
    </row>
    <row r="8130" s="2" customFormat="1" ht="30" customHeight="1" spans="1:6">
      <c r="A8130" s="9">
        <v>8127</v>
      </c>
      <c r="B8130" s="10" t="s">
        <v>7527</v>
      </c>
      <c r="C8130" s="10" t="s">
        <v>7528</v>
      </c>
      <c r="D8130" s="10" t="s">
        <v>7768</v>
      </c>
      <c r="E8130" s="10" t="str">
        <f>"644020240517094909184783"</f>
        <v>644020240517094909184783</v>
      </c>
      <c r="F8130" s="9"/>
    </row>
    <row r="8131" s="2" customFormat="1" ht="30" customHeight="1" spans="1:6">
      <c r="A8131" s="9">
        <v>8128</v>
      </c>
      <c r="B8131" s="10" t="s">
        <v>7527</v>
      </c>
      <c r="C8131" s="10" t="s">
        <v>7528</v>
      </c>
      <c r="D8131" s="10" t="s">
        <v>7769</v>
      </c>
      <c r="E8131" s="10" t="str">
        <f>"644020240517092847184742"</f>
        <v>644020240517092847184742</v>
      </c>
      <c r="F8131" s="9"/>
    </row>
    <row r="8132" s="2" customFormat="1" ht="30" customHeight="1" spans="1:6">
      <c r="A8132" s="9">
        <v>8129</v>
      </c>
      <c r="B8132" s="10" t="s">
        <v>7527</v>
      </c>
      <c r="C8132" s="10" t="s">
        <v>7528</v>
      </c>
      <c r="D8132" s="10" t="s">
        <v>7770</v>
      </c>
      <c r="E8132" s="10" t="str">
        <f>"644020240516160951183639"</f>
        <v>644020240516160951183639</v>
      </c>
      <c r="F8132" s="9"/>
    </row>
    <row r="8133" s="2" customFormat="1" ht="30" customHeight="1" spans="1:6">
      <c r="A8133" s="9">
        <v>8130</v>
      </c>
      <c r="B8133" s="10" t="s">
        <v>7527</v>
      </c>
      <c r="C8133" s="10" t="s">
        <v>7528</v>
      </c>
      <c r="D8133" s="10" t="s">
        <v>7771</v>
      </c>
      <c r="E8133" s="10" t="str">
        <f>"644020240517095128184789"</f>
        <v>644020240517095128184789</v>
      </c>
      <c r="F8133" s="9"/>
    </row>
    <row r="8134" s="2" customFormat="1" ht="30" customHeight="1" spans="1:6">
      <c r="A8134" s="9">
        <v>8131</v>
      </c>
      <c r="B8134" s="10" t="s">
        <v>7527</v>
      </c>
      <c r="C8134" s="10" t="s">
        <v>7528</v>
      </c>
      <c r="D8134" s="10" t="s">
        <v>7772</v>
      </c>
      <c r="E8134" s="10" t="str">
        <f>"644020240517100936184830"</f>
        <v>644020240517100936184830</v>
      </c>
      <c r="F8134" s="9"/>
    </row>
    <row r="8135" s="2" customFormat="1" ht="30" customHeight="1" spans="1:6">
      <c r="A8135" s="9">
        <v>8132</v>
      </c>
      <c r="B8135" s="10" t="s">
        <v>7527</v>
      </c>
      <c r="C8135" s="10" t="s">
        <v>7528</v>
      </c>
      <c r="D8135" s="10" t="s">
        <v>1341</v>
      </c>
      <c r="E8135" s="10" t="str">
        <f>"644020240516225231184339"</f>
        <v>644020240516225231184339</v>
      </c>
      <c r="F8135" s="9"/>
    </row>
    <row r="8136" s="2" customFormat="1" ht="30" customHeight="1" spans="1:6">
      <c r="A8136" s="9">
        <v>8133</v>
      </c>
      <c r="B8136" s="10" t="s">
        <v>7527</v>
      </c>
      <c r="C8136" s="10" t="s">
        <v>7528</v>
      </c>
      <c r="D8136" s="10" t="s">
        <v>5654</v>
      </c>
      <c r="E8136" s="10" t="str">
        <f>"644020240517105439184940"</f>
        <v>644020240517105439184940</v>
      </c>
      <c r="F8136" s="9"/>
    </row>
    <row r="8137" s="2" customFormat="1" ht="30" customHeight="1" spans="1:6">
      <c r="A8137" s="9">
        <v>8134</v>
      </c>
      <c r="B8137" s="10" t="s">
        <v>7527</v>
      </c>
      <c r="C8137" s="10" t="s">
        <v>7528</v>
      </c>
      <c r="D8137" s="10" t="s">
        <v>7773</v>
      </c>
      <c r="E8137" s="10" t="str">
        <f>"644020240517111328184978"</f>
        <v>644020240517111328184978</v>
      </c>
      <c r="F8137" s="9"/>
    </row>
    <row r="8138" s="2" customFormat="1" ht="30" customHeight="1" spans="1:6">
      <c r="A8138" s="9">
        <v>8135</v>
      </c>
      <c r="B8138" s="10" t="s">
        <v>7527</v>
      </c>
      <c r="C8138" s="10" t="s">
        <v>7528</v>
      </c>
      <c r="D8138" s="10" t="s">
        <v>7774</v>
      </c>
      <c r="E8138" s="10" t="str">
        <f>"644020240517113337185030"</f>
        <v>644020240517113337185030</v>
      </c>
      <c r="F8138" s="9"/>
    </row>
    <row r="8139" s="2" customFormat="1" ht="30" customHeight="1" spans="1:6">
      <c r="A8139" s="9">
        <v>8136</v>
      </c>
      <c r="B8139" s="10" t="s">
        <v>7527</v>
      </c>
      <c r="C8139" s="10" t="s">
        <v>7528</v>
      </c>
      <c r="D8139" s="10" t="s">
        <v>45</v>
      </c>
      <c r="E8139" s="10" t="str">
        <f>"644020240512141917169521"</f>
        <v>644020240512141917169521</v>
      </c>
      <c r="F8139" s="9"/>
    </row>
    <row r="8140" s="2" customFormat="1" ht="30" customHeight="1" spans="1:6">
      <c r="A8140" s="9">
        <v>8137</v>
      </c>
      <c r="B8140" s="10" t="s">
        <v>7527</v>
      </c>
      <c r="C8140" s="10" t="s">
        <v>7528</v>
      </c>
      <c r="D8140" s="10" t="s">
        <v>7775</v>
      </c>
      <c r="E8140" s="10" t="str">
        <f>"644020240515144756181596"</f>
        <v>644020240515144756181596</v>
      </c>
      <c r="F8140" s="9"/>
    </row>
    <row r="8141" s="2" customFormat="1" ht="30" customHeight="1" spans="1:6">
      <c r="A8141" s="9">
        <v>8138</v>
      </c>
      <c r="B8141" s="10" t="s">
        <v>7527</v>
      </c>
      <c r="C8141" s="10" t="s">
        <v>7528</v>
      </c>
      <c r="D8141" s="10" t="s">
        <v>7776</v>
      </c>
      <c r="E8141" s="10" t="str">
        <f>"644020240515154435181732"</f>
        <v>644020240515154435181732</v>
      </c>
      <c r="F8141" s="9"/>
    </row>
    <row r="8142" s="2" customFormat="1" ht="30" customHeight="1" spans="1:6">
      <c r="A8142" s="9">
        <v>8139</v>
      </c>
      <c r="B8142" s="10" t="s">
        <v>7527</v>
      </c>
      <c r="C8142" s="10" t="s">
        <v>7528</v>
      </c>
      <c r="D8142" s="10" t="s">
        <v>7777</v>
      </c>
      <c r="E8142" s="10" t="str">
        <f>"644020240517131850185245"</f>
        <v>644020240517131850185245</v>
      </c>
      <c r="F8142" s="9"/>
    </row>
    <row r="8143" s="2" customFormat="1" ht="30" customHeight="1" spans="1:6">
      <c r="A8143" s="9">
        <v>8140</v>
      </c>
      <c r="B8143" s="10" t="s">
        <v>7527</v>
      </c>
      <c r="C8143" s="10" t="s">
        <v>7528</v>
      </c>
      <c r="D8143" s="10" t="s">
        <v>7778</v>
      </c>
      <c r="E8143" s="10" t="str">
        <f>"644020240517131347185234"</f>
        <v>644020240517131347185234</v>
      </c>
      <c r="F8143" s="9"/>
    </row>
    <row r="8144" s="2" customFormat="1" ht="30" customHeight="1" spans="1:6">
      <c r="A8144" s="9">
        <v>8141</v>
      </c>
      <c r="B8144" s="10" t="s">
        <v>7527</v>
      </c>
      <c r="C8144" s="10" t="s">
        <v>7528</v>
      </c>
      <c r="D8144" s="10" t="s">
        <v>7779</v>
      </c>
      <c r="E8144" s="10" t="str">
        <f>"644020240517123553185141"</f>
        <v>644020240517123553185141</v>
      </c>
      <c r="F8144" s="9"/>
    </row>
    <row r="8145" s="2" customFormat="1" ht="30" customHeight="1" spans="1:6">
      <c r="A8145" s="9">
        <v>8142</v>
      </c>
      <c r="B8145" s="10" t="s">
        <v>7527</v>
      </c>
      <c r="C8145" s="10" t="s">
        <v>7528</v>
      </c>
      <c r="D8145" s="10" t="s">
        <v>3589</v>
      </c>
      <c r="E8145" s="10" t="str">
        <f>"644020240517140718185320"</f>
        <v>644020240517140718185320</v>
      </c>
      <c r="F8145" s="9"/>
    </row>
    <row r="8146" s="2" customFormat="1" ht="30" customHeight="1" spans="1:6">
      <c r="A8146" s="9">
        <v>8143</v>
      </c>
      <c r="B8146" s="10" t="s">
        <v>7527</v>
      </c>
      <c r="C8146" s="10" t="s">
        <v>7528</v>
      </c>
      <c r="D8146" s="10" t="s">
        <v>7780</v>
      </c>
      <c r="E8146" s="10" t="str">
        <f>"644020240514162013179466"</f>
        <v>644020240514162013179466</v>
      </c>
      <c r="F8146" s="9"/>
    </row>
    <row r="8147" s="2" customFormat="1" ht="30" customHeight="1" spans="1:6">
      <c r="A8147" s="9">
        <v>8144</v>
      </c>
      <c r="B8147" s="10" t="s">
        <v>7527</v>
      </c>
      <c r="C8147" s="10" t="s">
        <v>7528</v>
      </c>
      <c r="D8147" s="10" t="s">
        <v>7781</v>
      </c>
      <c r="E8147" s="10" t="str">
        <f>"644020240516162648183683"</f>
        <v>644020240516162648183683</v>
      </c>
      <c r="F8147" s="9"/>
    </row>
    <row r="8148" s="2" customFormat="1" ht="30" customHeight="1" spans="1:6">
      <c r="A8148" s="9">
        <v>8145</v>
      </c>
      <c r="B8148" s="10" t="s">
        <v>7527</v>
      </c>
      <c r="C8148" s="10" t="s">
        <v>7528</v>
      </c>
      <c r="D8148" s="10" t="s">
        <v>7782</v>
      </c>
      <c r="E8148" s="10" t="str">
        <f>"644020240517112045184997"</f>
        <v>644020240517112045184997</v>
      </c>
      <c r="F8148" s="9"/>
    </row>
    <row r="8149" s="2" customFormat="1" ht="30" customHeight="1" spans="1:6">
      <c r="A8149" s="9">
        <v>8146</v>
      </c>
      <c r="B8149" s="10" t="s">
        <v>7527</v>
      </c>
      <c r="C8149" s="10" t="s">
        <v>7528</v>
      </c>
      <c r="D8149" s="10" t="s">
        <v>7783</v>
      </c>
      <c r="E8149" s="10" t="str">
        <f>"644020240517152831185502"</f>
        <v>644020240517152831185502</v>
      </c>
      <c r="F8149" s="9"/>
    </row>
    <row r="8150" s="2" customFormat="1" ht="30" customHeight="1" spans="1:6">
      <c r="A8150" s="9">
        <v>8147</v>
      </c>
      <c r="B8150" s="10" t="s">
        <v>7527</v>
      </c>
      <c r="C8150" s="10" t="s">
        <v>7528</v>
      </c>
      <c r="D8150" s="10" t="s">
        <v>7784</v>
      </c>
      <c r="E8150" s="10" t="str">
        <f>"644020240517151522185461"</f>
        <v>644020240517151522185461</v>
      </c>
      <c r="F8150" s="9"/>
    </row>
    <row r="8151" s="2" customFormat="1" ht="30" customHeight="1" spans="1:6">
      <c r="A8151" s="9">
        <v>8148</v>
      </c>
      <c r="B8151" s="10" t="s">
        <v>7527</v>
      </c>
      <c r="C8151" s="10" t="s">
        <v>7528</v>
      </c>
      <c r="D8151" s="10" t="s">
        <v>7785</v>
      </c>
      <c r="E8151" s="10" t="str">
        <f>"644020240517102304184868"</f>
        <v>644020240517102304184868</v>
      </c>
      <c r="F8151" s="9"/>
    </row>
    <row r="8152" s="2" customFormat="1" ht="30" customHeight="1" spans="1:6">
      <c r="A8152" s="9">
        <v>8149</v>
      </c>
      <c r="B8152" s="10" t="s">
        <v>7527</v>
      </c>
      <c r="C8152" s="10" t="s">
        <v>7528</v>
      </c>
      <c r="D8152" s="10" t="s">
        <v>7786</v>
      </c>
      <c r="E8152" s="10" t="str">
        <f>"644020240512195215170679"</f>
        <v>644020240512195215170679</v>
      </c>
      <c r="F8152" s="9"/>
    </row>
    <row r="8153" s="2" customFormat="1" ht="30" customHeight="1" spans="1:6">
      <c r="A8153" s="9">
        <v>8150</v>
      </c>
      <c r="B8153" s="10" t="s">
        <v>7527</v>
      </c>
      <c r="C8153" s="10" t="s">
        <v>7528</v>
      </c>
      <c r="D8153" s="10" t="s">
        <v>7787</v>
      </c>
      <c r="E8153" s="10" t="str">
        <f>"644020240517161516185623"</f>
        <v>644020240517161516185623</v>
      </c>
      <c r="F8153" s="9"/>
    </row>
    <row r="8154" s="2" customFormat="1" ht="30" customHeight="1" spans="1:6">
      <c r="A8154" s="9">
        <v>8151</v>
      </c>
      <c r="B8154" s="10" t="s">
        <v>7527</v>
      </c>
      <c r="C8154" s="10" t="s">
        <v>7528</v>
      </c>
      <c r="D8154" s="10" t="s">
        <v>7788</v>
      </c>
      <c r="E8154" s="10" t="str">
        <f>"644020240513205146176924"</f>
        <v>644020240513205146176924</v>
      </c>
      <c r="F8154" s="9"/>
    </row>
    <row r="8155" s="2" customFormat="1" ht="30" customHeight="1" spans="1:6">
      <c r="A8155" s="9">
        <v>8152</v>
      </c>
      <c r="B8155" s="10" t="s">
        <v>7527</v>
      </c>
      <c r="C8155" s="10" t="s">
        <v>7528</v>
      </c>
      <c r="D8155" s="10" t="s">
        <v>7789</v>
      </c>
      <c r="E8155" s="10" t="str">
        <f>"644020240517151842185474"</f>
        <v>644020240517151842185474</v>
      </c>
      <c r="F8155" s="9"/>
    </row>
    <row r="8156" s="2" customFormat="1" ht="30" customHeight="1" spans="1:6">
      <c r="A8156" s="9">
        <v>8153</v>
      </c>
      <c r="B8156" s="10" t="s">
        <v>7527</v>
      </c>
      <c r="C8156" s="10" t="s">
        <v>7528</v>
      </c>
      <c r="D8156" s="10" t="s">
        <v>7790</v>
      </c>
      <c r="E8156" s="10" t="str">
        <f>"644020240514171507179665"</f>
        <v>644020240514171507179665</v>
      </c>
      <c r="F8156" s="9"/>
    </row>
    <row r="8157" s="2" customFormat="1" ht="30" customHeight="1" spans="1:6">
      <c r="A8157" s="9">
        <v>8154</v>
      </c>
      <c r="B8157" s="10" t="s">
        <v>7527</v>
      </c>
      <c r="C8157" s="10" t="s">
        <v>7528</v>
      </c>
      <c r="D8157" s="10" t="s">
        <v>7791</v>
      </c>
      <c r="E8157" s="10" t="str">
        <f>"644020240517145110185397"</f>
        <v>644020240517145110185397</v>
      </c>
      <c r="F8157" s="9"/>
    </row>
    <row r="8158" s="2" customFormat="1" ht="30" customHeight="1" spans="1:6">
      <c r="A8158" s="9">
        <v>8155</v>
      </c>
      <c r="B8158" s="10" t="s">
        <v>7527</v>
      </c>
      <c r="C8158" s="10" t="s">
        <v>7528</v>
      </c>
      <c r="D8158" s="10" t="s">
        <v>7792</v>
      </c>
      <c r="E8158" s="10" t="str">
        <f>"644020240517194125185905"</f>
        <v>644020240517194125185905</v>
      </c>
      <c r="F8158" s="9"/>
    </row>
    <row r="8159" s="2" customFormat="1" ht="30" customHeight="1" spans="1:6">
      <c r="A8159" s="9">
        <v>8156</v>
      </c>
      <c r="B8159" s="10" t="s">
        <v>7527</v>
      </c>
      <c r="C8159" s="10" t="s">
        <v>7528</v>
      </c>
      <c r="D8159" s="10" t="s">
        <v>7793</v>
      </c>
      <c r="E8159" s="10" t="str">
        <f>"644020240517202212185943"</f>
        <v>644020240517202212185943</v>
      </c>
      <c r="F8159" s="9"/>
    </row>
    <row r="8160" s="2" customFormat="1" ht="30" customHeight="1" spans="1:6">
      <c r="A8160" s="9">
        <v>8157</v>
      </c>
      <c r="B8160" s="10" t="s">
        <v>7527</v>
      </c>
      <c r="C8160" s="10" t="s">
        <v>7528</v>
      </c>
      <c r="D8160" s="10" t="s">
        <v>7794</v>
      </c>
      <c r="E8160" s="10" t="str">
        <f>"644020240517201931185937"</f>
        <v>644020240517201931185937</v>
      </c>
      <c r="F8160" s="9"/>
    </row>
    <row r="8161" s="2" customFormat="1" ht="30" customHeight="1" spans="1:6">
      <c r="A8161" s="9">
        <v>8158</v>
      </c>
      <c r="B8161" s="10" t="s">
        <v>7527</v>
      </c>
      <c r="C8161" s="10" t="s">
        <v>7528</v>
      </c>
      <c r="D8161" s="10" t="s">
        <v>7795</v>
      </c>
      <c r="E8161" s="10" t="str">
        <f>"644020240517210851185965"</f>
        <v>644020240517210851185965</v>
      </c>
      <c r="F8161" s="9"/>
    </row>
    <row r="8162" s="2" customFormat="1" ht="30" customHeight="1" spans="1:6">
      <c r="A8162" s="9">
        <v>8159</v>
      </c>
      <c r="B8162" s="10" t="s">
        <v>7527</v>
      </c>
      <c r="C8162" s="10" t="s">
        <v>7528</v>
      </c>
      <c r="D8162" s="10" t="s">
        <v>7796</v>
      </c>
      <c r="E8162" s="10" t="str">
        <f>"644020240517213253186010"</f>
        <v>644020240517213253186010</v>
      </c>
      <c r="F8162" s="9"/>
    </row>
    <row r="8163" s="2" customFormat="1" ht="30" customHeight="1" spans="1:6">
      <c r="A8163" s="9">
        <v>8160</v>
      </c>
      <c r="B8163" s="10" t="s">
        <v>7527</v>
      </c>
      <c r="C8163" s="10" t="s">
        <v>7528</v>
      </c>
      <c r="D8163" s="10" t="s">
        <v>7797</v>
      </c>
      <c r="E8163" s="10" t="str">
        <f>"644020240517213104186004"</f>
        <v>644020240517213104186004</v>
      </c>
      <c r="F8163" s="9"/>
    </row>
    <row r="8164" s="2" customFormat="1" ht="30" customHeight="1" spans="1:6">
      <c r="A8164" s="9">
        <v>8161</v>
      </c>
      <c r="B8164" s="10" t="s">
        <v>7527</v>
      </c>
      <c r="C8164" s="10" t="s">
        <v>7528</v>
      </c>
      <c r="D8164" s="10" t="s">
        <v>5859</v>
      </c>
      <c r="E8164" s="10" t="str">
        <f>"644020240517210402185950"</f>
        <v>644020240517210402185950</v>
      </c>
      <c r="F8164" s="9"/>
    </row>
    <row r="8165" s="2" customFormat="1" ht="30" customHeight="1" spans="1:6">
      <c r="A8165" s="9">
        <v>8162</v>
      </c>
      <c r="B8165" s="10" t="s">
        <v>7527</v>
      </c>
      <c r="C8165" s="10" t="s">
        <v>7528</v>
      </c>
      <c r="D8165" s="10" t="s">
        <v>7798</v>
      </c>
      <c r="E8165" s="10" t="str">
        <f>"644020240517145206185402"</f>
        <v>644020240517145206185402</v>
      </c>
      <c r="F8165" s="9"/>
    </row>
    <row r="8166" s="2" customFormat="1" ht="30" customHeight="1" spans="1:6">
      <c r="A8166" s="9">
        <v>8163</v>
      </c>
      <c r="B8166" s="10" t="s">
        <v>7527</v>
      </c>
      <c r="C8166" s="10" t="s">
        <v>7528</v>
      </c>
      <c r="D8166" s="10" t="s">
        <v>4204</v>
      </c>
      <c r="E8166" s="10" t="str">
        <f>"644020240517224222186078"</f>
        <v>644020240517224222186078</v>
      </c>
      <c r="F8166" s="9"/>
    </row>
    <row r="8167" s="2" customFormat="1" ht="30" customHeight="1" spans="1:6">
      <c r="A8167" s="9">
        <v>8164</v>
      </c>
      <c r="B8167" s="10" t="s">
        <v>7527</v>
      </c>
      <c r="C8167" s="10" t="s">
        <v>7528</v>
      </c>
      <c r="D8167" s="10" t="s">
        <v>7799</v>
      </c>
      <c r="E8167" s="10" t="str">
        <f>"644020240517233619186115"</f>
        <v>644020240517233619186115</v>
      </c>
      <c r="F8167" s="9"/>
    </row>
    <row r="8168" s="2" customFormat="1" ht="30" customHeight="1" spans="1:6">
      <c r="A8168" s="9">
        <v>8165</v>
      </c>
      <c r="B8168" s="10" t="s">
        <v>7527</v>
      </c>
      <c r="C8168" s="10" t="s">
        <v>7528</v>
      </c>
      <c r="D8168" s="10" t="s">
        <v>7800</v>
      </c>
      <c r="E8168" s="10" t="str">
        <f>"644020240513161807175882"</f>
        <v>644020240513161807175882</v>
      </c>
      <c r="F8168" s="9"/>
    </row>
    <row r="8169" s="2" customFormat="1" ht="30" customHeight="1" spans="1:6">
      <c r="A8169" s="9">
        <v>8166</v>
      </c>
      <c r="B8169" s="10" t="s">
        <v>7527</v>
      </c>
      <c r="C8169" s="10" t="s">
        <v>7528</v>
      </c>
      <c r="D8169" s="10" t="s">
        <v>4166</v>
      </c>
      <c r="E8169" s="10" t="str">
        <f>"644020240516220451184234"</f>
        <v>644020240516220451184234</v>
      </c>
      <c r="F8169" s="9"/>
    </row>
    <row r="8170" s="2" customFormat="1" ht="30" customHeight="1" spans="1:6">
      <c r="A8170" s="9">
        <v>8167</v>
      </c>
      <c r="B8170" s="10" t="s">
        <v>7527</v>
      </c>
      <c r="C8170" s="10" t="s">
        <v>7528</v>
      </c>
      <c r="D8170" s="10" t="s">
        <v>7801</v>
      </c>
      <c r="E8170" s="10" t="str">
        <f>"644020240517233150186107"</f>
        <v>644020240517233150186107</v>
      </c>
      <c r="F8170" s="9"/>
    </row>
    <row r="8171" s="2" customFormat="1" ht="30" customHeight="1" spans="1:6">
      <c r="A8171" s="9">
        <v>8168</v>
      </c>
      <c r="B8171" s="10" t="s">
        <v>7527</v>
      </c>
      <c r="C8171" s="10" t="s">
        <v>7528</v>
      </c>
      <c r="D8171" s="10" t="s">
        <v>7802</v>
      </c>
      <c r="E8171" s="10" t="str">
        <f>"644020240517214120186020"</f>
        <v>644020240517214120186020</v>
      </c>
      <c r="F8171" s="9"/>
    </row>
    <row r="8172" s="2" customFormat="1" ht="30" customHeight="1" spans="1:6">
      <c r="A8172" s="9">
        <v>8169</v>
      </c>
      <c r="B8172" s="10" t="s">
        <v>7527</v>
      </c>
      <c r="C8172" s="10" t="s">
        <v>7528</v>
      </c>
      <c r="D8172" s="10" t="s">
        <v>7803</v>
      </c>
      <c r="E8172" s="10" t="str">
        <f>"644020240517232239186084"</f>
        <v>644020240517232239186084</v>
      </c>
      <c r="F8172" s="9"/>
    </row>
    <row r="8173" s="2" customFormat="1" ht="30" customHeight="1" spans="1:6">
      <c r="A8173" s="9">
        <v>8170</v>
      </c>
      <c r="B8173" s="10" t="s">
        <v>7527</v>
      </c>
      <c r="C8173" s="10" t="s">
        <v>7528</v>
      </c>
      <c r="D8173" s="10" t="s">
        <v>7804</v>
      </c>
      <c r="E8173" s="10" t="str">
        <f>"644020240517235057186137"</f>
        <v>644020240517235057186137</v>
      </c>
      <c r="F8173" s="9"/>
    </row>
    <row r="8174" s="2" customFormat="1" ht="30" customHeight="1" spans="1:6">
      <c r="A8174" s="9">
        <v>8171</v>
      </c>
      <c r="B8174" s="10" t="s">
        <v>7527</v>
      </c>
      <c r="C8174" s="10" t="s">
        <v>7528</v>
      </c>
      <c r="D8174" s="10" t="s">
        <v>7805</v>
      </c>
      <c r="E8174" s="10" t="str">
        <f>"644020240517135131185296"</f>
        <v>644020240517135131185296</v>
      </c>
      <c r="F8174" s="9"/>
    </row>
    <row r="8175" s="2" customFormat="1" ht="30" customHeight="1" spans="1:6">
      <c r="A8175" s="9">
        <v>8172</v>
      </c>
      <c r="B8175" s="10" t="s">
        <v>7527</v>
      </c>
      <c r="C8175" s="10" t="s">
        <v>7528</v>
      </c>
      <c r="D8175" s="10" t="s">
        <v>7806</v>
      </c>
      <c r="E8175" s="10" t="str">
        <f>"644020240517155408185576"</f>
        <v>644020240517155408185576</v>
      </c>
      <c r="F8175" s="9"/>
    </row>
    <row r="8176" s="2" customFormat="1" ht="30" customHeight="1" spans="1:6">
      <c r="A8176" s="9">
        <v>8173</v>
      </c>
      <c r="B8176" s="10" t="s">
        <v>7527</v>
      </c>
      <c r="C8176" s="10" t="s">
        <v>7528</v>
      </c>
      <c r="D8176" s="10" t="s">
        <v>7807</v>
      </c>
      <c r="E8176" s="10" t="str">
        <f>"644020240518001532186175"</f>
        <v>644020240518001532186175</v>
      </c>
      <c r="F8176" s="9"/>
    </row>
    <row r="8177" s="2" customFormat="1" ht="30" customHeight="1" spans="1:6">
      <c r="A8177" s="9">
        <v>8174</v>
      </c>
      <c r="B8177" s="10" t="s">
        <v>7527</v>
      </c>
      <c r="C8177" s="10" t="s">
        <v>7528</v>
      </c>
      <c r="D8177" s="10" t="s">
        <v>7808</v>
      </c>
      <c r="E8177" s="10" t="str">
        <f>"644020240518002351186186"</f>
        <v>644020240518002351186186</v>
      </c>
      <c r="F8177" s="9"/>
    </row>
    <row r="8178" s="2" customFormat="1" ht="30" customHeight="1" spans="1:6">
      <c r="A8178" s="9">
        <v>8175</v>
      </c>
      <c r="B8178" s="10" t="s">
        <v>7527</v>
      </c>
      <c r="C8178" s="10" t="s">
        <v>7528</v>
      </c>
      <c r="D8178" s="10" t="s">
        <v>7809</v>
      </c>
      <c r="E8178" s="10" t="str">
        <f>"644020240518005315186222"</f>
        <v>644020240518005315186222</v>
      </c>
      <c r="F8178" s="9"/>
    </row>
    <row r="8179" s="2" customFormat="1" ht="30" customHeight="1" spans="1:6">
      <c r="A8179" s="9">
        <v>8176</v>
      </c>
      <c r="B8179" s="10" t="s">
        <v>7527</v>
      </c>
      <c r="C8179" s="10" t="s">
        <v>7528</v>
      </c>
      <c r="D8179" s="10" t="s">
        <v>7810</v>
      </c>
      <c r="E8179" s="10" t="str">
        <f>"644020240515135122181506"</f>
        <v>644020240515135122181506</v>
      </c>
      <c r="F8179" s="9"/>
    </row>
    <row r="8180" s="2" customFormat="1" ht="30" customHeight="1" spans="1:6">
      <c r="A8180" s="9">
        <v>8177</v>
      </c>
      <c r="B8180" s="10" t="s">
        <v>7527</v>
      </c>
      <c r="C8180" s="10" t="s">
        <v>7528</v>
      </c>
      <c r="D8180" s="10" t="s">
        <v>7811</v>
      </c>
      <c r="E8180" s="10" t="str">
        <f>"644020240517183229185838"</f>
        <v>644020240517183229185838</v>
      </c>
      <c r="F8180" s="9"/>
    </row>
    <row r="8181" s="2" customFormat="1" ht="30" customHeight="1" spans="1:6">
      <c r="A8181" s="9">
        <v>8178</v>
      </c>
      <c r="B8181" s="10" t="s">
        <v>7527</v>
      </c>
      <c r="C8181" s="10" t="s">
        <v>7528</v>
      </c>
      <c r="D8181" s="10" t="s">
        <v>7812</v>
      </c>
      <c r="E8181" s="10" t="str">
        <f>"644020240518023347186279"</f>
        <v>644020240518023347186279</v>
      </c>
      <c r="F8181" s="9"/>
    </row>
    <row r="8182" s="2" customFormat="1" ht="30" customHeight="1" spans="1:6">
      <c r="A8182" s="9">
        <v>8179</v>
      </c>
      <c r="B8182" s="10" t="s">
        <v>7527</v>
      </c>
      <c r="C8182" s="10" t="s">
        <v>7528</v>
      </c>
      <c r="D8182" s="10" t="s">
        <v>7813</v>
      </c>
      <c r="E8182" s="10" t="str">
        <f>"644020240518024713186284"</f>
        <v>644020240518024713186284</v>
      </c>
      <c r="F8182" s="9"/>
    </row>
    <row r="8183" s="2" customFormat="1" ht="30" customHeight="1" spans="1:6">
      <c r="A8183" s="9">
        <v>8180</v>
      </c>
      <c r="B8183" s="10" t="s">
        <v>7527</v>
      </c>
      <c r="C8183" s="10" t="s">
        <v>7528</v>
      </c>
      <c r="D8183" s="10" t="s">
        <v>673</v>
      </c>
      <c r="E8183" s="10" t="str">
        <f>"644020240518035611186300"</f>
        <v>644020240518035611186300</v>
      </c>
      <c r="F8183" s="9"/>
    </row>
    <row r="8184" s="2" customFormat="1" ht="30" customHeight="1" spans="1:6">
      <c r="A8184" s="9">
        <v>8181</v>
      </c>
      <c r="B8184" s="10" t="s">
        <v>7527</v>
      </c>
      <c r="C8184" s="10" t="s">
        <v>7528</v>
      </c>
      <c r="D8184" s="10" t="s">
        <v>7814</v>
      </c>
      <c r="E8184" s="10" t="str">
        <f>"644020240518051715186308"</f>
        <v>644020240518051715186308</v>
      </c>
      <c r="F8184" s="9"/>
    </row>
    <row r="8185" s="2" customFormat="1" ht="30" customHeight="1" spans="1:6">
      <c r="A8185" s="9">
        <v>8182</v>
      </c>
      <c r="B8185" s="10" t="s">
        <v>7527</v>
      </c>
      <c r="C8185" s="10" t="s">
        <v>7528</v>
      </c>
      <c r="D8185" s="10" t="s">
        <v>7815</v>
      </c>
      <c r="E8185" s="10" t="str">
        <f>"644020240516192925184016"</f>
        <v>644020240516192925184016</v>
      </c>
      <c r="F8185" s="9"/>
    </row>
    <row r="8186" s="2" customFormat="1" ht="30" customHeight="1" spans="1:6">
      <c r="A8186" s="9">
        <v>8183</v>
      </c>
      <c r="B8186" s="10" t="s">
        <v>7527</v>
      </c>
      <c r="C8186" s="10" t="s">
        <v>7528</v>
      </c>
      <c r="D8186" s="10" t="s">
        <v>7816</v>
      </c>
      <c r="E8186" s="10" t="str">
        <f>"644020240517012920184527"</f>
        <v>644020240517012920184527</v>
      </c>
      <c r="F8186" s="9"/>
    </row>
    <row r="8187" s="2" customFormat="1" ht="30" customHeight="1" spans="1:6">
      <c r="A8187" s="9">
        <v>8184</v>
      </c>
      <c r="B8187" s="10" t="s">
        <v>7527</v>
      </c>
      <c r="C8187" s="10" t="s">
        <v>7528</v>
      </c>
      <c r="D8187" s="10" t="s">
        <v>2008</v>
      </c>
      <c r="E8187" s="10" t="str">
        <f>"644020240518081456186380"</f>
        <v>644020240518081456186380</v>
      </c>
      <c r="F8187" s="9"/>
    </row>
    <row r="8188" s="2" customFormat="1" ht="30" customHeight="1" spans="1:6">
      <c r="A8188" s="9">
        <v>8185</v>
      </c>
      <c r="B8188" s="10" t="s">
        <v>7527</v>
      </c>
      <c r="C8188" s="10" t="s">
        <v>7528</v>
      </c>
      <c r="D8188" s="10" t="s">
        <v>7817</v>
      </c>
      <c r="E8188" s="10" t="str">
        <f>"644020240518090758186461"</f>
        <v>644020240518090758186461</v>
      </c>
      <c r="F8188" s="9"/>
    </row>
    <row r="8189" s="2" customFormat="1" ht="30" customHeight="1" spans="1:6">
      <c r="A8189" s="9">
        <v>8186</v>
      </c>
      <c r="B8189" s="10" t="s">
        <v>7527</v>
      </c>
      <c r="C8189" s="10" t="s">
        <v>7528</v>
      </c>
      <c r="D8189" s="10" t="s">
        <v>7818</v>
      </c>
      <c r="E8189" s="10" t="str">
        <f>"644020240517152753185500"</f>
        <v>644020240517152753185500</v>
      </c>
      <c r="F8189" s="9"/>
    </row>
    <row r="8190" s="2" customFormat="1" ht="30" customHeight="1" spans="1:6">
      <c r="A8190" s="9">
        <v>8187</v>
      </c>
      <c r="B8190" s="10" t="s">
        <v>7527</v>
      </c>
      <c r="C8190" s="10" t="s">
        <v>7528</v>
      </c>
      <c r="D8190" s="10" t="s">
        <v>7819</v>
      </c>
      <c r="E8190" s="10" t="str">
        <f>"644020240518010840186236"</f>
        <v>644020240518010840186236</v>
      </c>
      <c r="F8190" s="9"/>
    </row>
    <row r="8191" s="2" customFormat="1" ht="30" customHeight="1" spans="1:6">
      <c r="A8191" s="9">
        <v>8188</v>
      </c>
      <c r="B8191" s="10" t="s">
        <v>7527</v>
      </c>
      <c r="C8191" s="10" t="s">
        <v>7528</v>
      </c>
      <c r="D8191" s="10" t="s">
        <v>7820</v>
      </c>
      <c r="E8191" s="10" t="str">
        <f>"644020240513163935175993"</f>
        <v>644020240513163935175993</v>
      </c>
      <c r="F8191" s="9"/>
    </row>
    <row r="8192" s="2" customFormat="1" ht="30" customHeight="1" spans="1:6">
      <c r="A8192" s="9">
        <v>8189</v>
      </c>
      <c r="B8192" s="10" t="s">
        <v>7527</v>
      </c>
      <c r="C8192" s="10" t="s">
        <v>7528</v>
      </c>
      <c r="D8192" s="10" t="s">
        <v>7821</v>
      </c>
      <c r="E8192" s="10" t="str">
        <f>"644020240517123251185138"</f>
        <v>644020240517123251185138</v>
      </c>
      <c r="F8192" s="9"/>
    </row>
    <row r="8193" s="2" customFormat="1" ht="30" customHeight="1" spans="1:6">
      <c r="A8193" s="9">
        <v>8190</v>
      </c>
      <c r="B8193" s="10" t="s">
        <v>7527</v>
      </c>
      <c r="C8193" s="10" t="s">
        <v>7528</v>
      </c>
      <c r="D8193" s="10" t="s">
        <v>7822</v>
      </c>
      <c r="E8193" s="10" t="str">
        <f>"644020240518090211186447"</f>
        <v>644020240518090211186447</v>
      </c>
      <c r="F8193" s="9"/>
    </row>
    <row r="8194" s="2" customFormat="1" ht="30" customHeight="1" spans="1:6">
      <c r="A8194" s="9">
        <v>8191</v>
      </c>
      <c r="B8194" s="10" t="s">
        <v>7527</v>
      </c>
      <c r="C8194" s="10" t="s">
        <v>7528</v>
      </c>
      <c r="D8194" s="10" t="s">
        <v>7823</v>
      </c>
      <c r="E8194" s="10" t="str">
        <f>"644020240517121932185108"</f>
        <v>644020240517121932185108</v>
      </c>
      <c r="F8194" s="9"/>
    </row>
    <row r="8195" s="2" customFormat="1" ht="30" customHeight="1" spans="1:6">
      <c r="A8195" s="9">
        <v>8192</v>
      </c>
      <c r="B8195" s="10" t="s">
        <v>7527</v>
      </c>
      <c r="C8195" s="10" t="s">
        <v>7528</v>
      </c>
      <c r="D8195" s="10" t="s">
        <v>7824</v>
      </c>
      <c r="E8195" s="10" t="str">
        <f>"644020240518083821186416"</f>
        <v>644020240518083821186416</v>
      </c>
      <c r="F8195" s="9"/>
    </row>
    <row r="8196" s="2" customFormat="1" ht="30" customHeight="1" spans="1:6">
      <c r="A8196" s="9">
        <v>8193</v>
      </c>
      <c r="B8196" s="10" t="s">
        <v>7527</v>
      </c>
      <c r="C8196" s="10" t="s">
        <v>7528</v>
      </c>
      <c r="D8196" s="10" t="s">
        <v>7825</v>
      </c>
      <c r="E8196" s="10" t="str">
        <f>"644020240518095641186567"</f>
        <v>644020240518095641186567</v>
      </c>
      <c r="F8196" s="9"/>
    </row>
    <row r="8197" s="2" customFormat="1" ht="30" customHeight="1" spans="1:6">
      <c r="A8197" s="9">
        <v>8194</v>
      </c>
      <c r="B8197" s="10" t="s">
        <v>7527</v>
      </c>
      <c r="C8197" s="10" t="s">
        <v>7528</v>
      </c>
      <c r="D8197" s="10" t="s">
        <v>7826</v>
      </c>
      <c r="E8197" s="10" t="str">
        <f>"644020240517070850184570"</f>
        <v>644020240517070850184570</v>
      </c>
      <c r="F8197" s="9"/>
    </row>
    <row r="8198" s="2" customFormat="1" ht="30" customHeight="1" spans="1:6">
      <c r="A8198" s="9">
        <v>8195</v>
      </c>
      <c r="B8198" s="10" t="s">
        <v>7527</v>
      </c>
      <c r="C8198" s="10" t="s">
        <v>7528</v>
      </c>
      <c r="D8198" s="10" t="s">
        <v>7827</v>
      </c>
      <c r="E8198" s="10" t="str">
        <f>"644020240518103919186675"</f>
        <v>644020240518103919186675</v>
      </c>
      <c r="F8198" s="9"/>
    </row>
    <row r="8199" s="2" customFormat="1" ht="30" customHeight="1" spans="1:6">
      <c r="A8199" s="9">
        <v>8196</v>
      </c>
      <c r="B8199" s="10" t="s">
        <v>7527</v>
      </c>
      <c r="C8199" s="10" t="s">
        <v>7528</v>
      </c>
      <c r="D8199" s="10" t="s">
        <v>7828</v>
      </c>
      <c r="E8199" s="10" t="str">
        <f>"644020240518083739186413"</f>
        <v>644020240518083739186413</v>
      </c>
      <c r="F8199" s="9"/>
    </row>
    <row r="8200" s="2" customFormat="1" ht="30" customHeight="1" spans="1:6">
      <c r="A8200" s="9">
        <v>8197</v>
      </c>
      <c r="B8200" s="10" t="s">
        <v>7527</v>
      </c>
      <c r="C8200" s="10" t="s">
        <v>7528</v>
      </c>
      <c r="D8200" s="10" t="s">
        <v>7829</v>
      </c>
      <c r="E8200" s="10" t="str">
        <f>"644020240518095006186549"</f>
        <v>644020240518095006186549</v>
      </c>
      <c r="F8200" s="9"/>
    </row>
    <row r="8201" s="2" customFormat="1" ht="30" customHeight="1" spans="1:6">
      <c r="A8201" s="9">
        <v>8198</v>
      </c>
      <c r="B8201" s="10" t="s">
        <v>7527</v>
      </c>
      <c r="C8201" s="10" t="s">
        <v>7528</v>
      </c>
      <c r="D8201" s="10" t="s">
        <v>7830</v>
      </c>
      <c r="E8201" s="10" t="str">
        <f>"644020240518105526186710"</f>
        <v>644020240518105526186710</v>
      </c>
      <c r="F8201" s="9"/>
    </row>
    <row r="8202" s="2" customFormat="1" ht="30" customHeight="1" spans="1:6">
      <c r="A8202" s="9">
        <v>8199</v>
      </c>
      <c r="B8202" s="10" t="s">
        <v>7527</v>
      </c>
      <c r="C8202" s="10" t="s">
        <v>7528</v>
      </c>
      <c r="D8202" s="10" t="s">
        <v>7831</v>
      </c>
      <c r="E8202" s="10" t="str">
        <f>"644020240518101801186615"</f>
        <v>644020240518101801186615</v>
      </c>
      <c r="F8202" s="9"/>
    </row>
    <row r="8203" s="2" customFormat="1" ht="30" customHeight="1" spans="1:6">
      <c r="A8203" s="9">
        <v>8200</v>
      </c>
      <c r="B8203" s="10" t="s">
        <v>7527</v>
      </c>
      <c r="C8203" s="10" t="s">
        <v>7528</v>
      </c>
      <c r="D8203" s="10" t="s">
        <v>7832</v>
      </c>
      <c r="E8203" s="10" t="str">
        <f>"644020240518092901186502"</f>
        <v>644020240518092901186502</v>
      </c>
      <c r="F8203" s="9"/>
    </row>
    <row r="8204" s="2" customFormat="1" ht="30" customHeight="1" spans="1:6">
      <c r="A8204" s="9">
        <v>8201</v>
      </c>
      <c r="B8204" s="10" t="s">
        <v>7527</v>
      </c>
      <c r="C8204" s="10" t="s">
        <v>7528</v>
      </c>
      <c r="D8204" s="10" t="s">
        <v>7833</v>
      </c>
      <c r="E8204" s="10" t="str">
        <f>"644020240518104521186689"</f>
        <v>644020240518104521186689</v>
      </c>
      <c r="F8204" s="9"/>
    </row>
    <row r="8205" s="2" customFormat="1" ht="30" customHeight="1" spans="1:6">
      <c r="A8205" s="9">
        <v>8202</v>
      </c>
      <c r="B8205" s="10" t="s">
        <v>7527</v>
      </c>
      <c r="C8205" s="10" t="s">
        <v>7528</v>
      </c>
      <c r="D8205" s="10" t="s">
        <v>7834</v>
      </c>
      <c r="E8205" s="10" t="str">
        <f>"644020240516235957184461"</f>
        <v>644020240516235957184461</v>
      </c>
      <c r="F8205" s="9"/>
    </row>
    <row r="8206" s="2" customFormat="1" ht="30" customHeight="1" spans="1:6">
      <c r="A8206" s="9">
        <v>8203</v>
      </c>
      <c r="B8206" s="10" t="s">
        <v>7527</v>
      </c>
      <c r="C8206" s="10" t="s">
        <v>7528</v>
      </c>
      <c r="D8206" s="10" t="s">
        <v>7835</v>
      </c>
      <c r="E8206" s="10" t="str">
        <f>"644020240518113859186780"</f>
        <v>644020240518113859186780</v>
      </c>
      <c r="F8206" s="9"/>
    </row>
    <row r="8207" s="2" customFormat="1" ht="30" customHeight="1" spans="1:6">
      <c r="A8207" s="9">
        <v>8204</v>
      </c>
      <c r="B8207" s="10" t="s">
        <v>7527</v>
      </c>
      <c r="C8207" s="10" t="s">
        <v>7528</v>
      </c>
      <c r="D8207" s="10" t="s">
        <v>7836</v>
      </c>
      <c r="E8207" s="10" t="str">
        <f>"644020240516092548182865"</f>
        <v>644020240516092548182865</v>
      </c>
      <c r="F8207" s="9"/>
    </row>
    <row r="8208" s="2" customFormat="1" ht="30" customHeight="1" spans="1:6">
      <c r="A8208" s="9">
        <v>8205</v>
      </c>
      <c r="B8208" s="10" t="s">
        <v>7527</v>
      </c>
      <c r="C8208" s="10" t="s">
        <v>7528</v>
      </c>
      <c r="D8208" s="10" t="s">
        <v>7837</v>
      </c>
      <c r="E8208" s="10" t="str">
        <f>"644020240518110758186721"</f>
        <v>644020240518110758186721</v>
      </c>
      <c r="F8208" s="9"/>
    </row>
    <row r="8209" s="2" customFormat="1" ht="30" customHeight="1" spans="1:6">
      <c r="A8209" s="9">
        <v>8206</v>
      </c>
      <c r="B8209" s="10" t="s">
        <v>7527</v>
      </c>
      <c r="C8209" s="10" t="s">
        <v>7528</v>
      </c>
      <c r="D8209" s="10" t="s">
        <v>7838</v>
      </c>
      <c r="E8209" s="10" t="str">
        <f>"644020240517152640185497"</f>
        <v>644020240517152640185497</v>
      </c>
      <c r="F8209" s="9"/>
    </row>
    <row r="8210" s="2" customFormat="1" ht="30" customHeight="1" spans="1:6">
      <c r="A8210" s="9">
        <v>8207</v>
      </c>
      <c r="B8210" s="10" t="s">
        <v>7527</v>
      </c>
      <c r="C8210" s="10" t="s">
        <v>7528</v>
      </c>
      <c r="D8210" s="10" t="s">
        <v>7839</v>
      </c>
      <c r="E8210" s="10" t="str">
        <f>"644020240518114939186797"</f>
        <v>644020240518114939186797</v>
      </c>
      <c r="F8210" s="9"/>
    </row>
    <row r="8211" s="2" customFormat="1" ht="30" customHeight="1" spans="1:6">
      <c r="A8211" s="9">
        <v>8208</v>
      </c>
      <c r="B8211" s="10" t="s">
        <v>7527</v>
      </c>
      <c r="C8211" s="10" t="s">
        <v>7528</v>
      </c>
      <c r="D8211" s="10" t="s">
        <v>7840</v>
      </c>
      <c r="E8211" s="10" t="str">
        <f>"644020240518114636186790"</f>
        <v>644020240518114636186790</v>
      </c>
      <c r="F8211" s="9"/>
    </row>
    <row r="8212" s="2" customFormat="1" ht="30" customHeight="1" spans="1:6">
      <c r="A8212" s="9">
        <v>8209</v>
      </c>
      <c r="B8212" s="10" t="s">
        <v>7841</v>
      </c>
      <c r="C8212" s="10" t="s">
        <v>7842</v>
      </c>
      <c r="D8212" s="10" t="s">
        <v>7843</v>
      </c>
      <c r="E8212" s="10" t="str">
        <f>"644020240512094631168306"</f>
        <v>644020240512094631168306</v>
      </c>
      <c r="F8212" s="9"/>
    </row>
    <row r="8213" s="2" customFormat="1" ht="30" customHeight="1" spans="1:6">
      <c r="A8213" s="9">
        <v>8210</v>
      </c>
      <c r="B8213" s="10" t="s">
        <v>7841</v>
      </c>
      <c r="C8213" s="10" t="s">
        <v>7842</v>
      </c>
      <c r="D8213" s="10" t="s">
        <v>7844</v>
      </c>
      <c r="E8213" s="10" t="str">
        <f>"644020240512095141168331"</f>
        <v>644020240512095141168331</v>
      </c>
      <c r="F8213" s="9"/>
    </row>
    <row r="8214" s="2" customFormat="1" ht="30" customHeight="1" spans="1:6">
      <c r="A8214" s="9">
        <v>8211</v>
      </c>
      <c r="B8214" s="10" t="s">
        <v>7841</v>
      </c>
      <c r="C8214" s="10" t="s">
        <v>7842</v>
      </c>
      <c r="D8214" s="10" t="s">
        <v>7845</v>
      </c>
      <c r="E8214" s="10" t="str">
        <f>"644020240512114636168965"</f>
        <v>644020240512114636168965</v>
      </c>
      <c r="F8214" s="9"/>
    </row>
    <row r="8215" s="2" customFormat="1" ht="30" customHeight="1" spans="1:6">
      <c r="A8215" s="9">
        <v>8212</v>
      </c>
      <c r="B8215" s="10" t="s">
        <v>7841</v>
      </c>
      <c r="C8215" s="10" t="s">
        <v>7842</v>
      </c>
      <c r="D8215" s="10" t="s">
        <v>7846</v>
      </c>
      <c r="E8215" s="10" t="str">
        <f>"644020240512173215170221"</f>
        <v>644020240512173215170221</v>
      </c>
      <c r="F8215" s="9"/>
    </row>
    <row r="8216" s="2" customFormat="1" ht="30" customHeight="1" spans="1:6">
      <c r="A8216" s="9">
        <v>8213</v>
      </c>
      <c r="B8216" s="10" t="s">
        <v>7841</v>
      </c>
      <c r="C8216" s="10" t="s">
        <v>7842</v>
      </c>
      <c r="D8216" s="10" t="s">
        <v>7847</v>
      </c>
      <c r="E8216" s="10" t="str">
        <f>"644020240512165729170100"</f>
        <v>644020240512165729170100</v>
      </c>
      <c r="F8216" s="9"/>
    </row>
    <row r="8217" s="2" customFormat="1" ht="30" customHeight="1" spans="1:6">
      <c r="A8217" s="9">
        <v>8214</v>
      </c>
      <c r="B8217" s="10" t="s">
        <v>7841</v>
      </c>
      <c r="C8217" s="10" t="s">
        <v>7842</v>
      </c>
      <c r="D8217" s="10" t="s">
        <v>7848</v>
      </c>
      <c r="E8217" s="10" t="str">
        <f>"644020240512213532171178"</f>
        <v>644020240512213532171178</v>
      </c>
      <c r="F8217" s="9"/>
    </row>
    <row r="8218" s="2" customFormat="1" ht="30" customHeight="1" spans="1:6">
      <c r="A8218" s="9">
        <v>8215</v>
      </c>
      <c r="B8218" s="10" t="s">
        <v>7841</v>
      </c>
      <c r="C8218" s="10" t="s">
        <v>7842</v>
      </c>
      <c r="D8218" s="10" t="s">
        <v>7849</v>
      </c>
      <c r="E8218" s="10" t="str">
        <f>"644020240513065749172118"</f>
        <v>644020240513065749172118</v>
      </c>
      <c r="F8218" s="9"/>
    </row>
    <row r="8219" s="2" customFormat="1" ht="30" customHeight="1" spans="1:6">
      <c r="A8219" s="9">
        <v>8216</v>
      </c>
      <c r="B8219" s="10" t="s">
        <v>7841</v>
      </c>
      <c r="C8219" s="10" t="s">
        <v>7842</v>
      </c>
      <c r="D8219" s="10" t="s">
        <v>7850</v>
      </c>
      <c r="E8219" s="10" t="str">
        <f>"644020240512090107168095"</f>
        <v>644020240512090107168095</v>
      </c>
      <c r="F8219" s="9"/>
    </row>
    <row r="8220" s="2" customFormat="1" ht="30" customHeight="1" spans="1:6">
      <c r="A8220" s="9">
        <v>8217</v>
      </c>
      <c r="B8220" s="10" t="s">
        <v>7841</v>
      </c>
      <c r="C8220" s="10" t="s">
        <v>7842</v>
      </c>
      <c r="D8220" s="10" t="s">
        <v>7851</v>
      </c>
      <c r="E8220" s="10" t="str">
        <f>"644020240512154838169833"</f>
        <v>644020240512154838169833</v>
      </c>
      <c r="F8220" s="9"/>
    </row>
    <row r="8221" s="2" customFormat="1" ht="30" customHeight="1" spans="1:6">
      <c r="A8221" s="9">
        <v>8218</v>
      </c>
      <c r="B8221" s="10" t="s">
        <v>7841</v>
      </c>
      <c r="C8221" s="10" t="s">
        <v>7842</v>
      </c>
      <c r="D8221" s="10" t="s">
        <v>7852</v>
      </c>
      <c r="E8221" s="10" t="str">
        <f>"644020240513101543173264"</f>
        <v>644020240513101543173264</v>
      </c>
      <c r="F8221" s="9"/>
    </row>
    <row r="8222" s="2" customFormat="1" ht="30" customHeight="1" spans="1:6">
      <c r="A8222" s="9">
        <v>8219</v>
      </c>
      <c r="B8222" s="10" t="s">
        <v>7841</v>
      </c>
      <c r="C8222" s="10" t="s">
        <v>7842</v>
      </c>
      <c r="D8222" s="10" t="s">
        <v>7853</v>
      </c>
      <c r="E8222" s="10" t="str">
        <f>"644020240513105235173624"</f>
        <v>644020240513105235173624</v>
      </c>
      <c r="F8222" s="9"/>
    </row>
    <row r="8223" s="2" customFormat="1" ht="30" customHeight="1" spans="1:6">
      <c r="A8223" s="9">
        <v>8220</v>
      </c>
      <c r="B8223" s="10" t="s">
        <v>7841</v>
      </c>
      <c r="C8223" s="10" t="s">
        <v>7842</v>
      </c>
      <c r="D8223" s="10" t="s">
        <v>7854</v>
      </c>
      <c r="E8223" s="10" t="str">
        <f>"644020240513134940174749"</f>
        <v>644020240513134940174749</v>
      </c>
      <c r="F8223" s="9"/>
    </row>
    <row r="8224" s="2" customFormat="1" ht="30" customHeight="1" spans="1:6">
      <c r="A8224" s="9">
        <v>8221</v>
      </c>
      <c r="B8224" s="10" t="s">
        <v>7841</v>
      </c>
      <c r="C8224" s="10" t="s">
        <v>7842</v>
      </c>
      <c r="D8224" s="10" t="s">
        <v>7855</v>
      </c>
      <c r="E8224" s="10" t="str">
        <f>"644020240512170957170135"</f>
        <v>644020240512170957170135</v>
      </c>
      <c r="F8224" s="9"/>
    </row>
    <row r="8225" s="2" customFormat="1" ht="30" customHeight="1" spans="1:6">
      <c r="A8225" s="9">
        <v>8222</v>
      </c>
      <c r="B8225" s="10" t="s">
        <v>7841</v>
      </c>
      <c r="C8225" s="10" t="s">
        <v>7842</v>
      </c>
      <c r="D8225" s="10" t="s">
        <v>7856</v>
      </c>
      <c r="E8225" s="10" t="str">
        <f>"644020240513171802176175"</f>
        <v>644020240513171802176175</v>
      </c>
      <c r="F8225" s="9"/>
    </row>
    <row r="8226" s="2" customFormat="1" ht="30" customHeight="1" spans="1:6">
      <c r="A8226" s="9">
        <v>8223</v>
      </c>
      <c r="B8226" s="10" t="s">
        <v>7841</v>
      </c>
      <c r="C8226" s="10" t="s">
        <v>7842</v>
      </c>
      <c r="D8226" s="10" t="s">
        <v>7857</v>
      </c>
      <c r="E8226" s="10" t="str">
        <f>"644020240512154532169821"</f>
        <v>644020240512154532169821</v>
      </c>
      <c r="F8226" s="9"/>
    </row>
    <row r="8227" s="2" customFormat="1" ht="30" customHeight="1" spans="1:6">
      <c r="A8227" s="9">
        <v>8224</v>
      </c>
      <c r="B8227" s="10" t="s">
        <v>7841</v>
      </c>
      <c r="C8227" s="10" t="s">
        <v>7842</v>
      </c>
      <c r="D8227" s="10" t="s">
        <v>7858</v>
      </c>
      <c r="E8227" s="10" t="str">
        <f>"644020240512201011170751"</f>
        <v>644020240512201011170751</v>
      </c>
      <c r="F8227" s="9"/>
    </row>
    <row r="8228" s="2" customFormat="1" ht="30" customHeight="1" spans="1:6">
      <c r="A8228" s="9">
        <v>8225</v>
      </c>
      <c r="B8228" s="10" t="s">
        <v>7841</v>
      </c>
      <c r="C8228" s="10" t="s">
        <v>7842</v>
      </c>
      <c r="D8228" s="10" t="s">
        <v>822</v>
      </c>
      <c r="E8228" s="10" t="str">
        <f>"644020240513183741176444"</f>
        <v>644020240513183741176444</v>
      </c>
      <c r="F8228" s="9"/>
    </row>
    <row r="8229" s="2" customFormat="1" ht="30" customHeight="1" spans="1:6">
      <c r="A8229" s="9">
        <v>8226</v>
      </c>
      <c r="B8229" s="10" t="s">
        <v>7841</v>
      </c>
      <c r="C8229" s="10" t="s">
        <v>7842</v>
      </c>
      <c r="D8229" s="10" t="s">
        <v>7859</v>
      </c>
      <c r="E8229" s="10" t="str">
        <f>"644020240512145946169644"</f>
        <v>644020240512145946169644</v>
      </c>
      <c r="F8229" s="9"/>
    </row>
    <row r="8230" s="2" customFormat="1" ht="30" customHeight="1" spans="1:6">
      <c r="A8230" s="9">
        <v>8227</v>
      </c>
      <c r="B8230" s="10" t="s">
        <v>7841</v>
      </c>
      <c r="C8230" s="10" t="s">
        <v>7842</v>
      </c>
      <c r="D8230" s="10" t="s">
        <v>2049</v>
      </c>
      <c r="E8230" s="10" t="str">
        <f>"644020240513074715172172"</f>
        <v>644020240513074715172172</v>
      </c>
      <c r="F8230" s="9"/>
    </row>
    <row r="8231" s="2" customFormat="1" ht="30" customHeight="1" spans="1:6">
      <c r="A8231" s="9">
        <v>8228</v>
      </c>
      <c r="B8231" s="10" t="s">
        <v>7841</v>
      </c>
      <c r="C8231" s="10" t="s">
        <v>7842</v>
      </c>
      <c r="D8231" s="10" t="s">
        <v>7860</v>
      </c>
      <c r="E8231" s="10" t="str">
        <f>"644020240513203303176839"</f>
        <v>644020240513203303176839</v>
      </c>
      <c r="F8231" s="9"/>
    </row>
    <row r="8232" s="2" customFormat="1" ht="30" customHeight="1" spans="1:6">
      <c r="A8232" s="9">
        <v>8229</v>
      </c>
      <c r="B8232" s="10" t="s">
        <v>7841</v>
      </c>
      <c r="C8232" s="10" t="s">
        <v>7842</v>
      </c>
      <c r="D8232" s="10" t="s">
        <v>7861</v>
      </c>
      <c r="E8232" s="10" t="str">
        <f>"644020240513204054176885"</f>
        <v>644020240513204054176885</v>
      </c>
      <c r="F8232" s="9"/>
    </row>
    <row r="8233" s="2" customFormat="1" ht="30" customHeight="1" spans="1:6">
      <c r="A8233" s="9">
        <v>8230</v>
      </c>
      <c r="B8233" s="10" t="s">
        <v>7841</v>
      </c>
      <c r="C8233" s="10" t="s">
        <v>7842</v>
      </c>
      <c r="D8233" s="10" t="s">
        <v>7862</v>
      </c>
      <c r="E8233" s="10" t="str">
        <f>"644020240513183353176437"</f>
        <v>644020240513183353176437</v>
      </c>
      <c r="F8233" s="9"/>
    </row>
    <row r="8234" s="2" customFormat="1" ht="30" customHeight="1" spans="1:6">
      <c r="A8234" s="9">
        <v>8231</v>
      </c>
      <c r="B8234" s="10" t="s">
        <v>7841</v>
      </c>
      <c r="C8234" s="10" t="s">
        <v>7842</v>
      </c>
      <c r="D8234" s="10" t="s">
        <v>7863</v>
      </c>
      <c r="E8234" s="10" t="str">
        <f>"644020240513211311177011"</f>
        <v>644020240513211311177011</v>
      </c>
      <c r="F8234" s="9"/>
    </row>
    <row r="8235" s="2" customFormat="1" ht="30" customHeight="1" spans="1:6">
      <c r="A8235" s="9">
        <v>8232</v>
      </c>
      <c r="B8235" s="10" t="s">
        <v>7841</v>
      </c>
      <c r="C8235" s="10" t="s">
        <v>7842</v>
      </c>
      <c r="D8235" s="10" t="s">
        <v>7864</v>
      </c>
      <c r="E8235" s="10" t="str">
        <f>"644020240513214705177155"</f>
        <v>644020240513214705177155</v>
      </c>
      <c r="F8235" s="9"/>
    </row>
    <row r="8236" s="2" customFormat="1" ht="30" customHeight="1" spans="1:6">
      <c r="A8236" s="9">
        <v>8233</v>
      </c>
      <c r="B8236" s="10" t="s">
        <v>7841</v>
      </c>
      <c r="C8236" s="10" t="s">
        <v>7842</v>
      </c>
      <c r="D8236" s="10" t="s">
        <v>7865</v>
      </c>
      <c r="E8236" s="10" t="str">
        <f>"644020240512151919169725"</f>
        <v>644020240512151919169725</v>
      </c>
      <c r="F8236" s="9"/>
    </row>
    <row r="8237" s="2" customFormat="1" ht="30" customHeight="1" spans="1:6">
      <c r="A8237" s="9">
        <v>8234</v>
      </c>
      <c r="B8237" s="10" t="s">
        <v>7841</v>
      </c>
      <c r="C8237" s="10" t="s">
        <v>7842</v>
      </c>
      <c r="D8237" s="10" t="s">
        <v>7866</v>
      </c>
      <c r="E8237" s="10" t="str">
        <f>"644020240513153556175526"</f>
        <v>644020240513153556175526</v>
      </c>
      <c r="F8237" s="9"/>
    </row>
    <row r="8238" s="2" customFormat="1" ht="30" customHeight="1" spans="1:6">
      <c r="A8238" s="9">
        <v>8235</v>
      </c>
      <c r="B8238" s="10" t="s">
        <v>7841</v>
      </c>
      <c r="C8238" s="10" t="s">
        <v>7842</v>
      </c>
      <c r="D8238" s="10" t="s">
        <v>7867</v>
      </c>
      <c r="E8238" s="10" t="str">
        <f>"644020240512190605170527"</f>
        <v>644020240512190605170527</v>
      </c>
      <c r="F8238" s="9"/>
    </row>
    <row r="8239" s="2" customFormat="1" ht="30" customHeight="1" spans="1:6">
      <c r="A8239" s="9">
        <v>8236</v>
      </c>
      <c r="B8239" s="10" t="s">
        <v>7841</v>
      </c>
      <c r="C8239" s="10" t="s">
        <v>7842</v>
      </c>
      <c r="D8239" s="10" t="s">
        <v>7868</v>
      </c>
      <c r="E8239" s="10" t="str">
        <f>"644020240513181310176381"</f>
        <v>644020240513181310176381</v>
      </c>
      <c r="F8239" s="9"/>
    </row>
    <row r="8240" s="2" customFormat="1" ht="30" customHeight="1" spans="1:6">
      <c r="A8240" s="9">
        <v>8237</v>
      </c>
      <c r="B8240" s="10" t="s">
        <v>7841</v>
      </c>
      <c r="C8240" s="10" t="s">
        <v>7842</v>
      </c>
      <c r="D8240" s="10" t="s">
        <v>7869</v>
      </c>
      <c r="E8240" s="10" t="str">
        <f>"644020240514093634178141"</f>
        <v>644020240514093634178141</v>
      </c>
      <c r="F8240" s="9"/>
    </row>
    <row r="8241" s="2" customFormat="1" ht="30" customHeight="1" spans="1:6">
      <c r="A8241" s="9">
        <v>8238</v>
      </c>
      <c r="B8241" s="10" t="s">
        <v>7841</v>
      </c>
      <c r="C8241" s="10" t="s">
        <v>7842</v>
      </c>
      <c r="D8241" s="10" t="s">
        <v>7870</v>
      </c>
      <c r="E8241" s="10" t="str">
        <f>"644020240513143438174999"</f>
        <v>644020240513143438174999</v>
      </c>
      <c r="F8241" s="9"/>
    </row>
    <row r="8242" s="2" customFormat="1" ht="30" customHeight="1" spans="1:6">
      <c r="A8242" s="9">
        <v>8239</v>
      </c>
      <c r="B8242" s="10" t="s">
        <v>7841</v>
      </c>
      <c r="C8242" s="10" t="s">
        <v>7842</v>
      </c>
      <c r="D8242" s="10" t="s">
        <v>7871</v>
      </c>
      <c r="E8242" s="10" t="str">
        <f>"644020240514111118178643"</f>
        <v>644020240514111118178643</v>
      </c>
      <c r="F8242" s="9"/>
    </row>
    <row r="8243" s="2" customFormat="1" ht="30" customHeight="1" spans="1:6">
      <c r="A8243" s="9">
        <v>8240</v>
      </c>
      <c r="B8243" s="10" t="s">
        <v>7841</v>
      </c>
      <c r="C8243" s="10" t="s">
        <v>7842</v>
      </c>
      <c r="D8243" s="10" t="s">
        <v>7872</v>
      </c>
      <c r="E8243" s="10" t="str">
        <f>"644020240514112028178679"</f>
        <v>644020240514112028178679</v>
      </c>
      <c r="F8243" s="9"/>
    </row>
    <row r="8244" s="2" customFormat="1" ht="30" customHeight="1" spans="1:6">
      <c r="A8244" s="9">
        <v>8241</v>
      </c>
      <c r="B8244" s="10" t="s">
        <v>7841</v>
      </c>
      <c r="C8244" s="10" t="s">
        <v>7842</v>
      </c>
      <c r="D8244" s="10" t="s">
        <v>7873</v>
      </c>
      <c r="E8244" s="10" t="str">
        <f>"644020240514125031178938"</f>
        <v>644020240514125031178938</v>
      </c>
      <c r="F8244" s="9"/>
    </row>
    <row r="8245" s="2" customFormat="1" ht="30" customHeight="1" spans="1:6">
      <c r="A8245" s="9">
        <v>8242</v>
      </c>
      <c r="B8245" s="10" t="s">
        <v>7841</v>
      </c>
      <c r="C8245" s="10" t="s">
        <v>7842</v>
      </c>
      <c r="D8245" s="10" t="s">
        <v>7874</v>
      </c>
      <c r="E8245" s="10" t="str">
        <f>"644020240514142509179125"</f>
        <v>644020240514142509179125</v>
      </c>
      <c r="F8245" s="9"/>
    </row>
    <row r="8246" s="2" customFormat="1" ht="30" customHeight="1" spans="1:6">
      <c r="A8246" s="9">
        <v>8243</v>
      </c>
      <c r="B8246" s="10" t="s">
        <v>7841</v>
      </c>
      <c r="C8246" s="10" t="s">
        <v>7842</v>
      </c>
      <c r="D8246" s="10" t="s">
        <v>7875</v>
      </c>
      <c r="E8246" s="10" t="str">
        <f>"644020240514155755179393"</f>
        <v>644020240514155755179393</v>
      </c>
      <c r="F8246" s="9"/>
    </row>
    <row r="8247" s="2" customFormat="1" ht="30" customHeight="1" spans="1:6">
      <c r="A8247" s="9">
        <v>8244</v>
      </c>
      <c r="B8247" s="10" t="s">
        <v>7841</v>
      </c>
      <c r="C8247" s="10" t="s">
        <v>7842</v>
      </c>
      <c r="D8247" s="10" t="s">
        <v>7876</v>
      </c>
      <c r="E8247" s="10" t="str">
        <f>"644020240513160733175828"</f>
        <v>644020240513160733175828</v>
      </c>
      <c r="F8247" s="9"/>
    </row>
    <row r="8248" s="2" customFormat="1" ht="30" customHeight="1" spans="1:6">
      <c r="A8248" s="9">
        <v>8245</v>
      </c>
      <c r="B8248" s="10" t="s">
        <v>7841</v>
      </c>
      <c r="C8248" s="10" t="s">
        <v>7842</v>
      </c>
      <c r="D8248" s="10" t="s">
        <v>7877</v>
      </c>
      <c r="E8248" s="10" t="str">
        <f>"644020240514115056178800"</f>
        <v>644020240514115056178800</v>
      </c>
      <c r="F8248" s="9"/>
    </row>
    <row r="8249" s="2" customFormat="1" ht="30" customHeight="1" spans="1:6">
      <c r="A8249" s="9">
        <v>8246</v>
      </c>
      <c r="B8249" s="10" t="s">
        <v>7841</v>
      </c>
      <c r="C8249" s="10" t="s">
        <v>7842</v>
      </c>
      <c r="D8249" s="10" t="s">
        <v>7878</v>
      </c>
      <c r="E8249" s="10" t="str">
        <f>"644020240513142550174938"</f>
        <v>644020240513142550174938</v>
      </c>
      <c r="F8249" s="9"/>
    </row>
    <row r="8250" s="2" customFormat="1" ht="30" customHeight="1" spans="1:6">
      <c r="A8250" s="9">
        <v>8247</v>
      </c>
      <c r="B8250" s="10" t="s">
        <v>7841</v>
      </c>
      <c r="C8250" s="10" t="s">
        <v>7842</v>
      </c>
      <c r="D8250" s="10" t="s">
        <v>7879</v>
      </c>
      <c r="E8250" s="10" t="str">
        <f>"644020240514113346178742"</f>
        <v>644020240514113346178742</v>
      </c>
      <c r="F8250" s="9"/>
    </row>
    <row r="8251" s="2" customFormat="1" ht="30" customHeight="1" spans="1:6">
      <c r="A8251" s="9">
        <v>8248</v>
      </c>
      <c r="B8251" s="10" t="s">
        <v>7841</v>
      </c>
      <c r="C8251" s="10" t="s">
        <v>7842</v>
      </c>
      <c r="D8251" s="10" t="s">
        <v>7880</v>
      </c>
      <c r="E8251" s="10" t="str">
        <f>"644020240512203411170858"</f>
        <v>644020240512203411170858</v>
      </c>
      <c r="F8251" s="9"/>
    </row>
    <row r="8252" s="2" customFormat="1" ht="30" customHeight="1" spans="1:6">
      <c r="A8252" s="9">
        <v>8249</v>
      </c>
      <c r="B8252" s="10" t="s">
        <v>7841</v>
      </c>
      <c r="C8252" s="10" t="s">
        <v>7842</v>
      </c>
      <c r="D8252" s="10" t="s">
        <v>7881</v>
      </c>
      <c r="E8252" s="10" t="str">
        <f>"644020240513111328173815"</f>
        <v>644020240513111328173815</v>
      </c>
      <c r="F8252" s="9"/>
    </row>
    <row r="8253" s="2" customFormat="1" ht="30" customHeight="1" spans="1:6">
      <c r="A8253" s="9">
        <v>8250</v>
      </c>
      <c r="B8253" s="10" t="s">
        <v>7841</v>
      </c>
      <c r="C8253" s="10" t="s">
        <v>7842</v>
      </c>
      <c r="D8253" s="10" t="s">
        <v>7882</v>
      </c>
      <c r="E8253" s="10" t="str">
        <f>"644020240512125928169232"</f>
        <v>644020240512125928169232</v>
      </c>
      <c r="F8253" s="9"/>
    </row>
    <row r="8254" s="2" customFormat="1" ht="30" customHeight="1" spans="1:6">
      <c r="A8254" s="9">
        <v>8251</v>
      </c>
      <c r="B8254" s="10" t="s">
        <v>7841</v>
      </c>
      <c r="C8254" s="10" t="s">
        <v>7842</v>
      </c>
      <c r="D8254" s="10" t="s">
        <v>7883</v>
      </c>
      <c r="E8254" s="10" t="str">
        <f>"644020240514204231180052"</f>
        <v>644020240514204231180052</v>
      </c>
      <c r="F8254" s="9"/>
    </row>
    <row r="8255" s="2" customFormat="1" ht="30" customHeight="1" spans="1:6">
      <c r="A8255" s="9">
        <v>8252</v>
      </c>
      <c r="B8255" s="10" t="s">
        <v>7841</v>
      </c>
      <c r="C8255" s="10" t="s">
        <v>7842</v>
      </c>
      <c r="D8255" s="10" t="s">
        <v>7884</v>
      </c>
      <c r="E8255" s="10" t="str">
        <f>"644020240514145844179203"</f>
        <v>644020240514145844179203</v>
      </c>
      <c r="F8255" s="9"/>
    </row>
    <row r="8256" s="2" customFormat="1" ht="30" customHeight="1" spans="1:6">
      <c r="A8256" s="9">
        <v>8253</v>
      </c>
      <c r="B8256" s="10" t="s">
        <v>7841</v>
      </c>
      <c r="C8256" s="10" t="s">
        <v>7842</v>
      </c>
      <c r="D8256" s="10" t="s">
        <v>7885</v>
      </c>
      <c r="E8256" s="10" t="str">
        <f>"644020240514205937180108"</f>
        <v>644020240514205937180108</v>
      </c>
      <c r="F8256" s="9"/>
    </row>
    <row r="8257" s="2" customFormat="1" ht="30" customHeight="1" spans="1:6">
      <c r="A8257" s="9">
        <v>8254</v>
      </c>
      <c r="B8257" s="10" t="s">
        <v>7841</v>
      </c>
      <c r="C8257" s="10" t="s">
        <v>7842</v>
      </c>
      <c r="D8257" s="10" t="s">
        <v>7886</v>
      </c>
      <c r="E8257" s="10" t="str">
        <f>"644020240514172856179706"</f>
        <v>644020240514172856179706</v>
      </c>
      <c r="F8257" s="9"/>
    </row>
    <row r="8258" s="2" customFormat="1" ht="30" customHeight="1" spans="1:6">
      <c r="A8258" s="9">
        <v>8255</v>
      </c>
      <c r="B8258" s="10" t="s">
        <v>7841</v>
      </c>
      <c r="C8258" s="10" t="s">
        <v>7842</v>
      </c>
      <c r="D8258" s="10" t="s">
        <v>7887</v>
      </c>
      <c r="E8258" s="10" t="str">
        <f>"644020240514222545180366"</f>
        <v>644020240514222545180366</v>
      </c>
      <c r="F8258" s="9"/>
    </row>
    <row r="8259" s="2" customFormat="1" ht="30" customHeight="1" spans="1:6">
      <c r="A8259" s="9">
        <v>8256</v>
      </c>
      <c r="B8259" s="10" t="s">
        <v>7841</v>
      </c>
      <c r="C8259" s="10" t="s">
        <v>7842</v>
      </c>
      <c r="D8259" s="10" t="s">
        <v>7888</v>
      </c>
      <c r="E8259" s="10" t="str">
        <f>"644020240512174222170255"</f>
        <v>644020240512174222170255</v>
      </c>
      <c r="F8259" s="9"/>
    </row>
    <row r="8260" s="2" customFormat="1" ht="30" customHeight="1" spans="1:6">
      <c r="A8260" s="9">
        <v>8257</v>
      </c>
      <c r="B8260" s="10" t="s">
        <v>7841</v>
      </c>
      <c r="C8260" s="10" t="s">
        <v>7842</v>
      </c>
      <c r="D8260" s="10" t="s">
        <v>7889</v>
      </c>
      <c r="E8260" s="10" t="str">
        <f>"644020240513073821172157"</f>
        <v>644020240513073821172157</v>
      </c>
      <c r="F8260" s="9"/>
    </row>
    <row r="8261" s="2" customFormat="1" ht="30" customHeight="1" spans="1:6">
      <c r="A8261" s="9">
        <v>8258</v>
      </c>
      <c r="B8261" s="10" t="s">
        <v>7841</v>
      </c>
      <c r="C8261" s="10" t="s">
        <v>7842</v>
      </c>
      <c r="D8261" s="10" t="s">
        <v>7890</v>
      </c>
      <c r="E8261" s="10" t="str">
        <f>"644020240514154649179357"</f>
        <v>644020240514154649179357</v>
      </c>
      <c r="F8261" s="9"/>
    </row>
    <row r="8262" s="2" customFormat="1" ht="30" customHeight="1" spans="1:6">
      <c r="A8262" s="9">
        <v>8259</v>
      </c>
      <c r="B8262" s="10" t="s">
        <v>7841</v>
      </c>
      <c r="C8262" s="10" t="s">
        <v>7842</v>
      </c>
      <c r="D8262" s="10" t="s">
        <v>7891</v>
      </c>
      <c r="E8262" s="10" t="str">
        <f>"644020240514155820179394"</f>
        <v>644020240514155820179394</v>
      </c>
      <c r="F8262" s="9"/>
    </row>
    <row r="8263" s="2" customFormat="1" ht="30" customHeight="1" spans="1:6">
      <c r="A8263" s="9">
        <v>8260</v>
      </c>
      <c r="B8263" s="10" t="s">
        <v>7841</v>
      </c>
      <c r="C8263" s="10" t="s">
        <v>7842</v>
      </c>
      <c r="D8263" s="10" t="s">
        <v>7892</v>
      </c>
      <c r="E8263" s="10" t="str">
        <f>"644020240514231620180494"</f>
        <v>644020240514231620180494</v>
      </c>
      <c r="F8263" s="9"/>
    </row>
    <row r="8264" s="2" customFormat="1" ht="30" customHeight="1" spans="1:6">
      <c r="A8264" s="9">
        <v>8261</v>
      </c>
      <c r="B8264" s="10" t="s">
        <v>7841</v>
      </c>
      <c r="C8264" s="10" t="s">
        <v>7842</v>
      </c>
      <c r="D8264" s="10" t="s">
        <v>7893</v>
      </c>
      <c r="E8264" s="10" t="str">
        <f>"644020240515104554181100"</f>
        <v>644020240515104554181100</v>
      </c>
      <c r="F8264" s="9"/>
    </row>
    <row r="8265" s="2" customFormat="1" ht="30" customHeight="1" spans="1:6">
      <c r="A8265" s="9">
        <v>8262</v>
      </c>
      <c r="B8265" s="10" t="s">
        <v>7841</v>
      </c>
      <c r="C8265" s="10" t="s">
        <v>7842</v>
      </c>
      <c r="D8265" s="10" t="s">
        <v>7894</v>
      </c>
      <c r="E8265" s="10" t="str">
        <f>"644020240515105451181129"</f>
        <v>644020240515105451181129</v>
      </c>
      <c r="F8265" s="9"/>
    </row>
    <row r="8266" s="2" customFormat="1" ht="30" customHeight="1" spans="1:6">
      <c r="A8266" s="9">
        <v>8263</v>
      </c>
      <c r="B8266" s="10" t="s">
        <v>7841</v>
      </c>
      <c r="C8266" s="10" t="s">
        <v>7842</v>
      </c>
      <c r="D8266" s="10" t="s">
        <v>7895</v>
      </c>
      <c r="E8266" s="10" t="str">
        <f>"644020240512151524169709"</f>
        <v>644020240512151524169709</v>
      </c>
      <c r="F8266" s="9"/>
    </row>
    <row r="8267" s="2" customFormat="1" ht="30" customHeight="1" spans="1:6">
      <c r="A8267" s="9">
        <v>8264</v>
      </c>
      <c r="B8267" s="10" t="s">
        <v>7841</v>
      </c>
      <c r="C8267" s="10" t="s">
        <v>7842</v>
      </c>
      <c r="D8267" s="10" t="s">
        <v>7896</v>
      </c>
      <c r="E8267" s="10" t="str">
        <f>"644020240514103533178465"</f>
        <v>644020240514103533178465</v>
      </c>
      <c r="F8267" s="9"/>
    </row>
    <row r="8268" s="2" customFormat="1" ht="30" customHeight="1" spans="1:6">
      <c r="A8268" s="9">
        <v>8265</v>
      </c>
      <c r="B8268" s="10" t="s">
        <v>7841</v>
      </c>
      <c r="C8268" s="10" t="s">
        <v>7842</v>
      </c>
      <c r="D8268" s="10" t="s">
        <v>1587</v>
      </c>
      <c r="E8268" s="10" t="str">
        <f>"644020240513141255174864"</f>
        <v>644020240513141255174864</v>
      </c>
      <c r="F8268" s="9"/>
    </row>
    <row r="8269" s="2" customFormat="1" ht="30" customHeight="1" spans="1:6">
      <c r="A8269" s="9">
        <v>8266</v>
      </c>
      <c r="B8269" s="10" t="s">
        <v>7841</v>
      </c>
      <c r="C8269" s="10" t="s">
        <v>7842</v>
      </c>
      <c r="D8269" s="10" t="s">
        <v>7897</v>
      </c>
      <c r="E8269" s="10" t="str">
        <f>"644020240515122149181362"</f>
        <v>644020240515122149181362</v>
      </c>
      <c r="F8269" s="9"/>
    </row>
    <row r="8270" s="2" customFormat="1" ht="30" customHeight="1" spans="1:6">
      <c r="A8270" s="9">
        <v>8267</v>
      </c>
      <c r="B8270" s="10" t="s">
        <v>7841</v>
      </c>
      <c r="C8270" s="10" t="s">
        <v>7842</v>
      </c>
      <c r="D8270" s="10" t="s">
        <v>7898</v>
      </c>
      <c r="E8270" s="10" t="str">
        <f>"644020240513231854177548"</f>
        <v>644020240513231854177548</v>
      </c>
      <c r="F8270" s="9"/>
    </row>
    <row r="8271" s="2" customFormat="1" ht="30" customHeight="1" spans="1:6">
      <c r="A8271" s="9">
        <v>8268</v>
      </c>
      <c r="B8271" s="10" t="s">
        <v>7841</v>
      </c>
      <c r="C8271" s="10" t="s">
        <v>7842</v>
      </c>
      <c r="D8271" s="10" t="s">
        <v>7899</v>
      </c>
      <c r="E8271" s="10" t="str">
        <f>"644020240515150735181633"</f>
        <v>644020240515150735181633</v>
      </c>
      <c r="F8271" s="9"/>
    </row>
    <row r="8272" s="2" customFormat="1" ht="30" customHeight="1" spans="1:6">
      <c r="A8272" s="9">
        <v>8269</v>
      </c>
      <c r="B8272" s="10" t="s">
        <v>7841</v>
      </c>
      <c r="C8272" s="10" t="s">
        <v>7842</v>
      </c>
      <c r="D8272" s="10" t="s">
        <v>7900</v>
      </c>
      <c r="E8272" s="10" t="str">
        <f>"644020240514102226178385"</f>
        <v>644020240514102226178385</v>
      </c>
      <c r="F8272" s="9"/>
    </row>
    <row r="8273" s="2" customFormat="1" ht="30" customHeight="1" spans="1:6">
      <c r="A8273" s="9">
        <v>8270</v>
      </c>
      <c r="B8273" s="10" t="s">
        <v>7841</v>
      </c>
      <c r="C8273" s="10" t="s">
        <v>7842</v>
      </c>
      <c r="D8273" s="10" t="s">
        <v>7901</v>
      </c>
      <c r="E8273" s="10" t="str">
        <f>"644020240513170909176138"</f>
        <v>644020240513170909176138</v>
      </c>
      <c r="F8273" s="9"/>
    </row>
    <row r="8274" s="2" customFormat="1" ht="30" customHeight="1" spans="1:6">
      <c r="A8274" s="9">
        <v>8271</v>
      </c>
      <c r="B8274" s="10" t="s">
        <v>7841</v>
      </c>
      <c r="C8274" s="10" t="s">
        <v>7842</v>
      </c>
      <c r="D8274" s="10" t="s">
        <v>7902</v>
      </c>
      <c r="E8274" s="10" t="str">
        <f>"644020240514103219178444"</f>
        <v>644020240514103219178444</v>
      </c>
      <c r="F8274" s="9"/>
    </row>
    <row r="8275" s="2" customFormat="1" ht="30" customHeight="1" spans="1:6">
      <c r="A8275" s="9">
        <v>8272</v>
      </c>
      <c r="B8275" s="10" t="s">
        <v>7841</v>
      </c>
      <c r="C8275" s="10" t="s">
        <v>7842</v>
      </c>
      <c r="D8275" s="10" t="s">
        <v>7903</v>
      </c>
      <c r="E8275" s="10" t="str">
        <f>"644020240515181137182077"</f>
        <v>644020240515181137182077</v>
      </c>
      <c r="F8275" s="9"/>
    </row>
    <row r="8276" s="2" customFormat="1" ht="30" customHeight="1" spans="1:6">
      <c r="A8276" s="9">
        <v>8273</v>
      </c>
      <c r="B8276" s="10" t="s">
        <v>7841</v>
      </c>
      <c r="C8276" s="10" t="s">
        <v>7842</v>
      </c>
      <c r="D8276" s="10" t="s">
        <v>7904</v>
      </c>
      <c r="E8276" s="10" t="str">
        <f>"644020240515183659182101"</f>
        <v>644020240515183659182101</v>
      </c>
      <c r="F8276" s="9"/>
    </row>
    <row r="8277" s="2" customFormat="1" ht="30" customHeight="1" spans="1:6">
      <c r="A8277" s="9">
        <v>8274</v>
      </c>
      <c r="B8277" s="10" t="s">
        <v>7841</v>
      </c>
      <c r="C8277" s="10" t="s">
        <v>7842</v>
      </c>
      <c r="D8277" s="10" t="s">
        <v>7905</v>
      </c>
      <c r="E8277" s="10" t="str">
        <f>"644020240515184933182124"</f>
        <v>644020240515184933182124</v>
      </c>
      <c r="F8277" s="9"/>
    </row>
    <row r="8278" s="2" customFormat="1" ht="30" customHeight="1" spans="1:6">
      <c r="A8278" s="9">
        <v>8275</v>
      </c>
      <c r="B8278" s="10" t="s">
        <v>7841</v>
      </c>
      <c r="C8278" s="10" t="s">
        <v>7842</v>
      </c>
      <c r="D8278" s="10" t="s">
        <v>7906</v>
      </c>
      <c r="E8278" s="10" t="str">
        <f>"644020240513104352173543"</f>
        <v>644020240513104352173543</v>
      </c>
      <c r="F8278" s="9"/>
    </row>
    <row r="8279" s="2" customFormat="1" ht="30" customHeight="1" spans="1:6">
      <c r="A8279" s="9">
        <v>8276</v>
      </c>
      <c r="B8279" s="10" t="s">
        <v>7841</v>
      </c>
      <c r="C8279" s="10" t="s">
        <v>7842</v>
      </c>
      <c r="D8279" s="10" t="s">
        <v>7907</v>
      </c>
      <c r="E8279" s="10" t="str">
        <f>"644020240512235339171903"</f>
        <v>644020240512235339171903</v>
      </c>
      <c r="F8279" s="9"/>
    </row>
    <row r="8280" s="2" customFormat="1" ht="30" customHeight="1" spans="1:6">
      <c r="A8280" s="9">
        <v>8277</v>
      </c>
      <c r="B8280" s="10" t="s">
        <v>7841</v>
      </c>
      <c r="C8280" s="10" t="s">
        <v>7842</v>
      </c>
      <c r="D8280" s="10" t="s">
        <v>7908</v>
      </c>
      <c r="E8280" s="10" t="str">
        <f>"644020240515221143182368"</f>
        <v>644020240515221143182368</v>
      </c>
      <c r="F8280" s="9"/>
    </row>
    <row r="8281" s="2" customFormat="1" ht="30" customHeight="1" spans="1:6">
      <c r="A8281" s="9">
        <v>8278</v>
      </c>
      <c r="B8281" s="10" t="s">
        <v>7841</v>
      </c>
      <c r="C8281" s="10" t="s">
        <v>7842</v>
      </c>
      <c r="D8281" s="10" t="s">
        <v>2907</v>
      </c>
      <c r="E8281" s="10" t="str">
        <f>"644020240514204413180059"</f>
        <v>644020240514204413180059</v>
      </c>
      <c r="F8281" s="9"/>
    </row>
    <row r="8282" s="2" customFormat="1" ht="30" customHeight="1" spans="1:6">
      <c r="A8282" s="9">
        <v>8279</v>
      </c>
      <c r="B8282" s="10" t="s">
        <v>7841</v>
      </c>
      <c r="C8282" s="10" t="s">
        <v>7842</v>
      </c>
      <c r="D8282" s="10" t="s">
        <v>7909</v>
      </c>
      <c r="E8282" s="10" t="str">
        <f>"644020240516085053182796"</f>
        <v>644020240516085053182796</v>
      </c>
      <c r="F8282" s="9"/>
    </row>
    <row r="8283" s="2" customFormat="1" ht="30" customHeight="1" spans="1:6">
      <c r="A8283" s="9">
        <v>8280</v>
      </c>
      <c r="B8283" s="10" t="s">
        <v>7841</v>
      </c>
      <c r="C8283" s="10" t="s">
        <v>7842</v>
      </c>
      <c r="D8283" s="10" t="s">
        <v>7910</v>
      </c>
      <c r="E8283" s="10" t="str">
        <f>"644020240516101354182983"</f>
        <v>644020240516101354182983</v>
      </c>
      <c r="F8283" s="9"/>
    </row>
    <row r="8284" s="2" customFormat="1" ht="30" customHeight="1" spans="1:6">
      <c r="A8284" s="9">
        <v>8281</v>
      </c>
      <c r="B8284" s="10" t="s">
        <v>7841</v>
      </c>
      <c r="C8284" s="10" t="s">
        <v>7842</v>
      </c>
      <c r="D8284" s="10" t="s">
        <v>7911</v>
      </c>
      <c r="E8284" s="10" t="str">
        <f>"644020240515142935181562"</f>
        <v>644020240515142935181562</v>
      </c>
      <c r="F8284" s="9"/>
    </row>
    <row r="8285" s="2" customFormat="1" ht="30" customHeight="1" spans="1:6">
      <c r="A8285" s="9">
        <v>8282</v>
      </c>
      <c r="B8285" s="10" t="s">
        <v>7841</v>
      </c>
      <c r="C8285" s="10" t="s">
        <v>7842</v>
      </c>
      <c r="D8285" s="10" t="s">
        <v>7912</v>
      </c>
      <c r="E8285" s="10" t="str">
        <f>"644020240515232440182560"</f>
        <v>644020240515232440182560</v>
      </c>
      <c r="F8285" s="9"/>
    </row>
    <row r="8286" s="2" customFormat="1" ht="30" customHeight="1" spans="1:6">
      <c r="A8286" s="9">
        <v>8283</v>
      </c>
      <c r="B8286" s="10" t="s">
        <v>7841</v>
      </c>
      <c r="C8286" s="10" t="s">
        <v>7842</v>
      </c>
      <c r="D8286" s="10" t="s">
        <v>7913</v>
      </c>
      <c r="E8286" s="10" t="str">
        <f>"644020240516104430183045"</f>
        <v>644020240516104430183045</v>
      </c>
      <c r="F8286" s="9"/>
    </row>
    <row r="8287" s="2" customFormat="1" ht="30" customHeight="1" spans="1:6">
      <c r="A8287" s="9">
        <v>8284</v>
      </c>
      <c r="B8287" s="10" t="s">
        <v>7841</v>
      </c>
      <c r="C8287" s="10" t="s">
        <v>7842</v>
      </c>
      <c r="D8287" s="10" t="s">
        <v>7914</v>
      </c>
      <c r="E8287" s="10" t="str">
        <f>"644020240516093427182886"</f>
        <v>644020240516093427182886</v>
      </c>
      <c r="F8287" s="9"/>
    </row>
    <row r="8288" s="2" customFormat="1" ht="30" customHeight="1" spans="1:6">
      <c r="A8288" s="9">
        <v>8285</v>
      </c>
      <c r="B8288" s="10" t="s">
        <v>7841</v>
      </c>
      <c r="C8288" s="10" t="s">
        <v>7842</v>
      </c>
      <c r="D8288" s="10" t="s">
        <v>7915</v>
      </c>
      <c r="E8288" s="10" t="str">
        <f>"644020240516120604183235"</f>
        <v>644020240516120604183235</v>
      </c>
      <c r="F8288" s="9"/>
    </row>
    <row r="8289" s="2" customFormat="1" ht="30" customHeight="1" spans="1:6">
      <c r="A8289" s="9">
        <v>8286</v>
      </c>
      <c r="B8289" s="10" t="s">
        <v>7841</v>
      </c>
      <c r="C8289" s="10" t="s">
        <v>7842</v>
      </c>
      <c r="D8289" s="10" t="s">
        <v>7916</v>
      </c>
      <c r="E8289" s="10" t="str">
        <f>"644020240515192938182173"</f>
        <v>644020240515192938182173</v>
      </c>
      <c r="F8289" s="9"/>
    </row>
    <row r="8290" s="2" customFormat="1" ht="30" customHeight="1" spans="1:6">
      <c r="A8290" s="9">
        <v>8287</v>
      </c>
      <c r="B8290" s="10" t="s">
        <v>7841</v>
      </c>
      <c r="C8290" s="10" t="s">
        <v>7842</v>
      </c>
      <c r="D8290" s="10" t="s">
        <v>7637</v>
      </c>
      <c r="E8290" s="10" t="str">
        <f>"644020240514000028177640"</f>
        <v>644020240514000028177640</v>
      </c>
      <c r="F8290" s="9"/>
    </row>
    <row r="8291" s="2" customFormat="1" ht="30" customHeight="1" spans="1:6">
      <c r="A8291" s="9">
        <v>8288</v>
      </c>
      <c r="B8291" s="10" t="s">
        <v>7841</v>
      </c>
      <c r="C8291" s="10" t="s">
        <v>7842</v>
      </c>
      <c r="D8291" s="10" t="s">
        <v>7917</v>
      </c>
      <c r="E8291" s="10" t="str">
        <f>"644020240515092418180834"</f>
        <v>644020240515092418180834</v>
      </c>
      <c r="F8291" s="9"/>
    </row>
    <row r="8292" s="2" customFormat="1" ht="30" customHeight="1" spans="1:6">
      <c r="A8292" s="9">
        <v>8289</v>
      </c>
      <c r="B8292" s="10" t="s">
        <v>7841</v>
      </c>
      <c r="C8292" s="10" t="s">
        <v>7842</v>
      </c>
      <c r="D8292" s="10" t="s">
        <v>7918</v>
      </c>
      <c r="E8292" s="10" t="str">
        <f>"644020240516151204183505"</f>
        <v>644020240516151204183505</v>
      </c>
      <c r="F8292" s="9"/>
    </row>
    <row r="8293" s="2" customFormat="1" ht="30" customHeight="1" spans="1:6">
      <c r="A8293" s="9">
        <v>8290</v>
      </c>
      <c r="B8293" s="10" t="s">
        <v>7841</v>
      </c>
      <c r="C8293" s="10" t="s">
        <v>7842</v>
      </c>
      <c r="D8293" s="10" t="s">
        <v>7919</v>
      </c>
      <c r="E8293" s="10" t="str">
        <f>"644020240515144046181576"</f>
        <v>644020240515144046181576</v>
      </c>
      <c r="F8293" s="9"/>
    </row>
    <row r="8294" s="2" customFormat="1" ht="30" customHeight="1" spans="1:6">
      <c r="A8294" s="9">
        <v>8291</v>
      </c>
      <c r="B8294" s="10" t="s">
        <v>7841</v>
      </c>
      <c r="C8294" s="10" t="s">
        <v>7842</v>
      </c>
      <c r="D8294" s="10" t="s">
        <v>7920</v>
      </c>
      <c r="E8294" s="10" t="str">
        <f>"644020240516154824183583"</f>
        <v>644020240516154824183583</v>
      </c>
      <c r="F8294" s="9"/>
    </row>
    <row r="8295" s="2" customFormat="1" ht="30" customHeight="1" spans="1:6">
      <c r="A8295" s="9">
        <v>8292</v>
      </c>
      <c r="B8295" s="10" t="s">
        <v>7841</v>
      </c>
      <c r="C8295" s="10" t="s">
        <v>7842</v>
      </c>
      <c r="D8295" s="10" t="s">
        <v>7921</v>
      </c>
      <c r="E8295" s="10" t="str">
        <f>"644020240513170244176102"</f>
        <v>644020240513170244176102</v>
      </c>
      <c r="F8295" s="9"/>
    </row>
    <row r="8296" s="2" customFormat="1" ht="30" customHeight="1" spans="1:6">
      <c r="A8296" s="9">
        <v>8293</v>
      </c>
      <c r="B8296" s="10" t="s">
        <v>7841</v>
      </c>
      <c r="C8296" s="10" t="s">
        <v>7842</v>
      </c>
      <c r="D8296" s="10" t="s">
        <v>7922</v>
      </c>
      <c r="E8296" s="10" t="str">
        <f>"644020240516154846183586"</f>
        <v>644020240516154846183586</v>
      </c>
      <c r="F8296" s="9"/>
    </row>
    <row r="8297" s="2" customFormat="1" ht="30" customHeight="1" spans="1:6">
      <c r="A8297" s="9">
        <v>8294</v>
      </c>
      <c r="B8297" s="10" t="s">
        <v>7841</v>
      </c>
      <c r="C8297" s="10" t="s">
        <v>7842</v>
      </c>
      <c r="D8297" s="10" t="s">
        <v>7923</v>
      </c>
      <c r="E8297" s="10" t="str">
        <f>"644020240516162622183682"</f>
        <v>644020240516162622183682</v>
      </c>
      <c r="F8297" s="9"/>
    </row>
    <row r="8298" s="2" customFormat="1" ht="30" customHeight="1" spans="1:6">
      <c r="A8298" s="9">
        <v>8295</v>
      </c>
      <c r="B8298" s="10" t="s">
        <v>7841</v>
      </c>
      <c r="C8298" s="10" t="s">
        <v>7842</v>
      </c>
      <c r="D8298" s="10" t="s">
        <v>7924</v>
      </c>
      <c r="E8298" s="10" t="str">
        <f>"644020240516162722183688"</f>
        <v>644020240516162722183688</v>
      </c>
      <c r="F8298" s="9"/>
    </row>
    <row r="8299" s="2" customFormat="1" ht="30" customHeight="1" spans="1:6">
      <c r="A8299" s="9">
        <v>8296</v>
      </c>
      <c r="B8299" s="10" t="s">
        <v>7841</v>
      </c>
      <c r="C8299" s="10" t="s">
        <v>7842</v>
      </c>
      <c r="D8299" s="10" t="s">
        <v>7925</v>
      </c>
      <c r="E8299" s="10" t="str">
        <f>"644020240516163536183702"</f>
        <v>644020240516163536183702</v>
      </c>
      <c r="F8299" s="9"/>
    </row>
    <row r="8300" s="2" customFormat="1" ht="30" customHeight="1" spans="1:6">
      <c r="A8300" s="9">
        <v>8297</v>
      </c>
      <c r="B8300" s="10" t="s">
        <v>7841</v>
      </c>
      <c r="C8300" s="10" t="s">
        <v>7842</v>
      </c>
      <c r="D8300" s="10" t="s">
        <v>7926</v>
      </c>
      <c r="E8300" s="10" t="str">
        <f>"644020240516160012183617"</f>
        <v>644020240516160012183617</v>
      </c>
      <c r="F8300" s="9"/>
    </row>
    <row r="8301" s="2" customFormat="1" ht="30" customHeight="1" spans="1:6">
      <c r="A8301" s="9">
        <v>8298</v>
      </c>
      <c r="B8301" s="10" t="s">
        <v>7841</v>
      </c>
      <c r="C8301" s="10" t="s">
        <v>7842</v>
      </c>
      <c r="D8301" s="10" t="s">
        <v>7927</v>
      </c>
      <c r="E8301" s="10" t="str">
        <f>"644020240516160547183628"</f>
        <v>644020240516160547183628</v>
      </c>
      <c r="F8301" s="9"/>
    </row>
    <row r="8302" s="2" customFormat="1" ht="30" customHeight="1" spans="1:6">
      <c r="A8302" s="9">
        <v>8299</v>
      </c>
      <c r="B8302" s="10" t="s">
        <v>7841</v>
      </c>
      <c r="C8302" s="10" t="s">
        <v>7842</v>
      </c>
      <c r="D8302" s="10" t="s">
        <v>7928</v>
      </c>
      <c r="E8302" s="10" t="str">
        <f>"644020240515230032182509"</f>
        <v>644020240515230032182509</v>
      </c>
      <c r="F8302" s="9"/>
    </row>
    <row r="8303" s="2" customFormat="1" ht="30" customHeight="1" spans="1:6">
      <c r="A8303" s="9">
        <v>8300</v>
      </c>
      <c r="B8303" s="10" t="s">
        <v>7841</v>
      </c>
      <c r="C8303" s="10" t="s">
        <v>7842</v>
      </c>
      <c r="D8303" s="10" t="s">
        <v>7929</v>
      </c>
      <c r="E8303" s="10" t="str">
        <f>"644020240516173106183832"</f>
        <v>644020240516173106183832</v>
      </c>
      <c r="F8303" s="9"/>
    </row>
    <row r="8304" s="2" customFormat="1" ht="30" customHeight="1" spans="1:6">
      <c r="A8304" s="9">
        <v>8301</v>
      </c>
      <c r="B8304" s="10" t="s">
        <v>7841</v>
      </c>
      <c r="C8304" s="10" t="s">
        <v>7842</v>
      </c>
      <c r="D8304" s="10" t="s">
        <v>7930</v>
      </c>
      <c r="E8304" s="10" t="str">
        <f>"644020240516175627183875"</f>
        <v>644020240516175627183875</v>
      </c>
      <c r="F8304" s="9"/>
    </row>
    <row r="8305" s="2" customFormat="1" ht="30" customHeight="1" spans="1:6">
      <c r="A8305" s="9">
        <v>8302</v>
      </c>
      <c r="B8305" s="10" t="s">
        <v>7841</v>
      </c>
      <c r="C8305" s="10" t="s">
        <v>7842</v>
      </c>
      <c r="D8305" s="10" t="s">
        <v>7931</v>
      </c>
      <c r="E8305" s="10" t="str">
        <f>"644020240516175659183876"</f>
        <v>644020240516175659183876</v>
      </c>
      <c r="F8305" s="9"/>
    </row>
    <row r="8306" s="2" customFormat="1" ht="30" customHeight="1" spans="1:6">
      <c r="A8306" s="9">
        <v>8303</v>
      </c>
      <c r="B8306" s="10" t="s">
        <v>7841</v>
      </c>
      <c r="C8306" s="10" t="s">
        <v>7842</v>
      </c>
      <c r="D8306" s="10" t="s">
        <v>7932</v>
      </c>
      <c r="E8306" s="10" t="str">
        <f>"644020240516173737183847"</f>
        <v>644020240516173737183847</v>
      </c>
      <c r="F8306" s="9"/>
    </row>
    <row r="8307" s="2" customFormat="1" ht="30" customHeight="1" spans="1:6">
      <c r="A8307" s="9">
        <v>8304</v>
      </c>
      <c r="B8307" s="10" t="s">
        <v>7841</v>
      </c>
      <c r="C8307" s="10" t="s">
        <v>7842</v>
      </c>
      <c r="D8307" s="10" t="s">
        <v>7933</v>
      </c>
      <c r="E8307" s="10" t="str">
        <f>"644020240516122425183270"</f>
        <v>644020240516122425183270</v>
      </c>
      <c r="F8307" s="9"/>
    </row>
    <row r="8308" s="2" customFormat="1" ht="30" customHeight="1" spans="1:6">
      <c r="A8308" s="9">
        <v>8305</v>
      </c>
      <c r="B8308" s="10" t="s">
        <v>7841</v>
      </c>
      <c r="C8308" s="10" t="s">
        <v>7842</v>
      </c>
      <c r="D8308" s="10" t="s">
        <v>7934</v>
      </c>
      <c r="E8308" s="10" t="str">
        <f>"644020240516183320183940"</f>
        <v>644020240516183320183940</v>
      </c>
      <c r="F8308" s="9"/>
    </row>
    <row r="8309" s="2" customFormat="1" ht="30" customHeight="1" spans="1:6">
      <c r="A8309" s="9">
        <v>8306</v>
      </c>
      <c r="B8309" s="10" t="s">
        <v>7841</v>
      </c>
      <c r="C8309" s="10" t="s">
        <v>7842</v>
      </c>
      <c r="D8309" s="10" t="s">
        <v>7935</v>
      </c>
      <c r="E8309" s="10" t="str">
        <f>"644020240513004452172005"</f>
        <v>644020240513004452172005</v>
      </c>
      <c r="F8309" s="9"/>
    </row>
    <row r="8310" s="2" customFormat="1" ht="30" customHeight="1" spans="1:6">
      <c r="A8310" s="9">
        <v>8307</v>
      </c>
      <c r="B8310" s="10" t="s">
        <v>7841</v>
      </c>
      <c r="C8310" s="10" t="s">
        <v>7842</v>
      </c>
      <c r="D8310" s="10" t="s">
        <v>7936</v>
      </c>
      <c r="E8310" s="10" t="str">
        <f>"644020240516215632184206"</f>
        <v>644020240516215632184206</v>
      </c>
      <c r="F8310" s="9"/>
    </row>
    <row r="8311" s="2" customFormat="1" ht="30" customHeight="1" spans="1:6">
      <c r="A8311" s="9">
        <v>8308</v>
      </c>
      <c r="B8311" s="10" t="s">
        <v>7841</v>
      </c>
      <c r="C8311" s="10" t="s">
        <v>7842</v>
      </c>
      <c r="D8311" s="10" t="s">
        <v>7937</v>
      </c>
      <c r="E8311" s="10" t="str">
        <f>"644020240516161531183651"</f>
        <v>644020240516161531183651</v>
      </c>
      <c r="F8311" s="9"/>
    </row>
    <row r="8312" s="2" customFormat="1" ht="30" customHeight="1" spans="1:6">
      <c r="A8312" s="9">
        <v>8309</v>
      </c>
      <c r="B8312" s="10" t="s">
        <v>7841</v>
      </c>
      <c r="C8312" s="10" t="s">
        <v>7842</v>
      </c>
      <c r="D8312" s="10" t="s">
        <v>7938</v>
      </c>
      <c r="E8312" s="10" t="str">
        <f>"644020240516164203183715"</f>
        <v>644020240516164203183715</v>
      </c>
      <c r="F8312" s="9"/>
    </row>
    <row r="8313" s="2" customFormat="1" ht="30" customHeight="1" spans="1:6">
      <c r="A8313" s="9">
        <v>8310</v>
      </c>
      <c r="B8313" s="10" t="s">
        <v>7841</v>
      </c>
      <c r="C8313" s="10" t="s">
        <v>7842</v>
      </c>
      <c r="D8313" s="10" t="s">
        <v>7939</v>
      </c>
      <c r="E8313" s="10" t="str">
        <f>"644020240516235418184449"</f>
        <v>644020240516235418184449</v>
      </c>
      <c r="F8313" s="9"/>
    </row>
    <row r="8314" s="2" customFormat="1" ht="30" customHeight="1" spans="1:6">
      <c r="A8314" s="9">
        <v>8311</v>
      </c>
      <c r="B8314" s="10" t="s">
        <v>7841</v>
      </c>
      <c r="C8314" s="10" t="s">
        <v>7842</v>
      </c>
      <c r="D8314" s="10" t="s">
        <v>7940</v>
      </c>
      <c r="E8314" s="10" t="str">
        <f>"644020240516233357184419"</f>
        <v>644020240516233357184419</v>
      </c>
      <c r="F8314" s="9"/>
    </row>
    <row r="8315" s="2" customFormat="1" ht="30" customHeight="1" spans="1:6">
      <c r="A8315" s="9">
        <v>8312</v>
      </c>
      <c r="B8315" s="10" t="s">
        <v>7841</v>
      </c>
      <c r="C8315" s="10" t="s">
        <v>7842</v>
      </c>
      <c r="D8315" s="10" t="s">
        <v>7941</v>
      </c>
      <c r="E8315" s="10" t="str">
        <f>"644020240517003408184500"</f>
        <v>644020240517003408184500</v>
      </c>
      <c r="F8315" s="9"/>
    </row>
    <row r="8316" s="2" customFormat="1" ht="30" customHeight="1" spans="1:6">
      <c r="A8316" s="9">
        <v>8313</v>
      </c>
      <c r="B8316" s="10" t="s">
        <v>7841</v>
      </c>
      <c r="C8316" s="10" t="s">
        <v>7842</v>
      </c>
      <c r="D8316" s="10" t="s">
        <v>7942</v>
      </c>
      <c r="E8316" s="10" t="str">
        <f>"644020240513090456172540"</f>
        <v>644020240513090456172540</v>
      </c>
      <c r="F8316" s="9"/>
    </row>
    <row r="8317" s="2" customFormat="1" ht="30" customHeight="1" spans="1:6">
      <c r="A8317" s="9">
        <v>8314</v>
      </c>
      <c r="B8317" s="10" t="s">
        <v>7841</v>
      </c>
      <c r="C8317" s="10" t="s">
        <v>7842</v>
      </c>
      <c r="D8317" s="10" t="s">
        <v>7943</v>
      </c>
      <c r="E8317" s="10" t="str">
        <f>"644020240516110906183128"</f>
        <v>644020240516110906183128</v>
      </c>
      <c r="F8317" s="9"/>
    </row>
    <row r="8318" s="2" customFormat="1" ht="30" customHeight="1" spans="1:6">
      <c r="A8318" s="9">
        <v>8315</v>
      </c>
      <c r="B8318" s="10" t="s">
        <v>7841</v>
      </c>
      <c r="C8318" s="10" t="s">
        <v>7842</v>
      </c>
      <c r="D8318" s="10" t="s">
        <v>7944</v>
      </c>
      <c r="E8318" s="10" t="str">
        <f>"644020240517013437184531"</f>
        <v>644020240517013437184531</v>
      </c>
      <c r="F8318" s="9"/>
    </row>
    <row r="8319" s="2" customFormat="1" ht="30" customHeight="1" spans="1:6">
      <c r="A8319" s="9">
        <v>8316</v>
      </c>
      <c r="B8319" s="10" t="s">
        <v>7841</v>
      </c>
      <c r="C8319" s="10" t="s">
        <v>7842</v>
      </c>
      <c r="D8319" s="10" t="s">
        <v>7945</v>
      </c>
      <c r="E8319" s="10" t="str">
        <f>"644020240517085255184671"</f>
        <v>644020240517085255184671</v>
      </c>
      <c r="F8319" s="9"/>
    </row>
    <row r="8320" s="2" customFormat="1" ht="30" customHeight="1" spans="1:6">
      <c r="A8320" s="9">
        <v>8317</v>
      </c>
      <c r="B8320" s="10" t="s">
        <v>7841</v>
      </c>
      <c r="C8320" s="10" t="s">
        <v>7842</v>
      </c>
      <c r="D8320" s="10" t="s">
        <v>7946</v>
      </c>
      <c r="E8320" s="10" t="str">
        <f>"644020240512214931171262"</f>
        <v>644020240512214931171262</v>
      </c>
      <c r="F8320" s="9"/>
    </row>
    <row r="8321" s="2" customFormat="1" ht="30" customHeight="1" spans="1:6">
      <c r="A8321" s="9">
        <v>8318</v>
      </c>
      <c r="B8321" s="10" t="s">
        <v>7841</v>
      </c>
      <c r="C8321" s="10" t="s">
        <v>7842</v>
      </c>
      <c r="D8321" s="10" t="s">
        <v>7947</v>
      </c>
      <c r="E8321" s="10" t="str">
        <f>"644020240517100420184821"</f>
        <v>644020240517100420184821</v>
      </c>
      <c r="F8321" s="9"/>
    </row>
    <row r="8322" s="2" customFormat="1" ht="30" customHeight="1" spans="1:6">
      <c r="A8322" s="9">
        <v>8319</v>
      </c>
      <c r="B8322" s="10" t="s">
        <v>7841</v>
      </c>
      <c r="C8322" s="10" t="s">
        <v>7842</v>
      </c>
      <c r="D8322" s="10" t="s">
        <v>7948</v>
      </c>
      <c r="E8322" s="10" t="str">
        <f>"644020240512152711169749"</f>
        <v>644020240512152711169749</v>
      </c>
      <c r="F8322" s="9"/>
    </row>
    <row r="8323" s="2" customFormat="1" ht="30" customHeight="1" spans="1:6">
      <c r="A8323" s="9">
        <v>8320</v>
      </c>
      <c r="B8323" s="10" t="s">
        <v>7841</v>
      </c>
      <c r="C8323" s="10" t="s">
        <v>7842</v>
      </c>
      <c r="D8323" s="10" t="s">
        <v>7949</v>
      </c>
      <c r="E8323" s="10" t="str">
        <f>"644020240516100222182959"</f>
        <v>644020240516100222182959</v>
      </c>
      <c r="F8323" s="9"/>
    </row>
    <row r="8324" s="2" customFormat="1" ht="30" customHeight="1" spans="1:6">
      <c r="A8324" s="9">
        <v>8321</v>
      </c>
      <c r="B8324" s="10" t="s">
        <v>7841</v>
      </c>
      <c r="C8324" s="10" t="s">
        <v>7842</v>
      </c>
      <c r="D8324" s="10" t="s">
        <v>7950</v>
      </c>
      <c r="E8324" s="10" t="str">
        <f>"644020240517002010184487"</f>
        <v>644020240517002010184487</v>
      </c>
      <c r="F8324" s="9"/>
    </row>
    <row r="8325" s="2" customFormat="1" ht="30" customHeight="1" spans="1:6">
      <c r="A8325" s="9">
        <v>8322</v>
      </c>
      <c r="B8325" s="10" t="s">
        <v>7841</v>
      </c>
      <c r="C8325" s="10" t="s">
        <v>7842</v>
      </c>
      <c r="D8325" s="10" t="s">
        <v>7951</v>
      </c>
      <c r="E8325" s="10" t="str">
        <f>"644020240514090209177969"</f>
        <v>644020240514090209177969</v>
      </c>
      <c r="F8325" s="9"/>
    </row>
    <row r="8326" s="2" customFormat="1" ht="30" customHeight="1" spans="1:6">
      <c r="A8326" s="9">
        <v>8323</v>
      </c>
      <c r="B8326" s="10" t="s">
        <v>7841</v>
      </c>
      <c r="C8326" s="10" t="s">
        <v>7842</v>
      </c>
      <c r="D8326" s="10" t="s">
        <v>7952</v>
      </c>
      <c r="E8326" s="10" t="str">
        <f>"644020240516092719182868"</f>
        <v>644020240516092719182868</v>
      </c>
      <c r="F8326" s="9"/>
    </row>
    <row r="8327" s="2" customFormat="1" ht="30" customHeight="1" spans="1:6">
      <c r="A8327" s="9">
        <v>8324</v>
      </c>
      <c r="B8327" s="10" t="s">
        <v>7841</v>
      </c>
      <c r="C8327" s="10" t="s">
        <v>7842</v>
      </c>
      <c r="D8327" s="10" t="s">
        <v>7953</v>
      </c>
      <c r="E8327" s="10" t="str">
        <f>"644020240517114604185053"</f>
        <v>644020240517114604185053</v>
      </c>
      <c r="F8327" s="9"/>
    </row>
    <row r="8328" s="2" customFormat="1" ht="30" customHeight="1" spans="1:6">
      <c r="A8328" s="9">
        <v>8325</v>
      </c>
      <c r="B8328" s="10" t="s">
        <v>7841</v>
      </c>
      <c r="C8328" s="10" t="s">
        <v>7842</v>
      </c>
      <c r="D8328" s="10" t="s">
        <v>7954</v>
      </c>
      <c r="E8328" s="10" t="str">
        <f>"644020240512114944168975"</f>
        <v>644020240512114944168975</v>
      </c>
      <c r="F8328" s="9"/>
    </row>
    <row r="8329" s="2" customFormat="1" ht="30" customHeight="1" spans="1:6">
      <c r="A8329" s="9">
        <v>8326</v>
      </c>
      <c r="B8329" s="10" t="s">
        <v>7841</v>
      </c>
      <c r="C8329" s="10" t="s">
        <v>7842</v>
      </c>
      <c r="D8329" s="10" t="s">
        <v>7955</v>
      </c>
      <c r="E8329" s="10" t="str">
        <f>"644020240517090637184698"</f>
        <v>644020240517090637184698</v>
      </c>
      <c r="F8329" s="9"/>
    </row>
    <row r="8330" s="2" customFormat="1" ht="30" customHeight="1" spans="1:6">
      <c r="A8330" s="9">
        <v>8327</v>
      </c>
      <c r="B8330" s="10" t="s">
        <v>7841</v>
      </c>
      <c r="C8330" s="10" t="s">
        <v>7842</v>
      </c>
      <c r="D8330" s="10" t="s">
        <v>7956</v>
      </c>
      <c r="E8330" s="10" t="str">
        <f>"644020240516113530183183"</f>
        <v>644020240516113530183183</v>
      </c>
      <c r="F8330" s="9"/>
    </row>
    <row r="8331" s="2" customFormat="1" ht="30" customHeight="1" spans="1:6">
      <c r="A8331" s="9">
        <v>8328</v>
      </c>
      <c r="B8331" s="10" t="s">
        <v>7841</v>
      </c>
      <c r="C8331" s="10" t="s">
        <v>7842</v>
      </c>
      <c r="D8331" s="10" t="s">
        <v>7957</v>
      </c>
      <c r="E8331" s="10" t="str">
        <f>"644020240517125212185179"</f>
        <v>644020240517125212185179</v>
      </c>
      <c r="F8331" s="9"/>
    </row>
    <row r="8332" s="2" customFormat="1" ht="30" customHeight="1" spans="1:6">
      <c r="A8332" s="9">
        <v>8329</v>
      </c>
      <c r="B8332" s="10" t="s">
        <v>7841</v>
      </c>
      <c r="C8332" s="10" t="s">
        <v>7842</v>
      </c>
      <c r="D8332" s="10" t="s">
        <v>7958</v>
      </c>
      <c r="E8332" s="10" t="str">
        <f>"644020240517103810184899"</f>
        <v>644020240517103810184899</v>
      </c>
      <c r="F8332" s="9"/>
    </row>
    <row r="8333" s="2" customFormat="1" ht="30" customHeight="1" spans="1:6">
      <c r="A8333" s="9">
        <v>8330</v>
      </c>
      <c r="B8333" s="10" t="s">
        <v>7841</v>
      </c>
      <c r="C8333" s="10" t="s">
        <v>7842</v>
      </c>
      <c r="D8333" s="10" t="s">
        <v>7959</v>
      </c>
      <c r="E8333" s="10" t="str">
        <f>"644020240517133148185265"</f>
        <v>644020240517133148185265</v>
      </c>
      <c r="F8333" s="9"/>
    </row>
    <row r="8334" s="2" customFormat="1" ht="30" customHeight="1" spans="1:6">
      <c r="A8334" s="9">
        <v>8331</v>
      </c>
      <c r="B8334" s="10" t="s">
        <v>7841</v>
      </c>
      <c r="C8334" s="10" t="s">
        <v>7842</v>
      </c>
      <c r="D8334" s="10" t="s">
        <v>7960</v>
      </c>
      <c r="E8334" s="10" t="str">
        <f>"644020240516192738184013"</f>
        <v>644020240516192738184013</v>
      </c>
      <c r="F8334" s="9"/>
    </row>
    <row r="8335" s="2" customFormat="1" ht="30" customHeight="1" spans="1:6">
      <c r="A8335" s="9">
        <v>8332</v>
      </c>
      <c r="B8335" s="10" t="s">
        <v>7841</v>
      </c>
      <c r="C8335" s="10" t="s">
        <v>7842</v>
      </c>
      <c r="D8335" s="10" t="s">
        <v>7961</v>
      </c>
      <c r="E8335" s="10" t="str">
        <f>"644020240515124306181391"</f>
        <v>644020240515124306181391</v>
      </c>
      <c r="F8335" s="9"/>
    </row>
    <row r="8336" s="2" customFormat="1" ht="30" customHeight="1" spans="1:6">
      <c r="A8336" s="9">
        <v>8333</v>
      </c>
      <c r="B8336" s="10" t="s">
        <v>7841</v>
      </c>
      <c r="C8336" s="10" t="s">
        <v>7842</v>
      </c>
      <c r="D8336" s="10" t="s">
        <v>7962</v>
      </c>
      <c r="E8336" s="10" t="str">
        <f>"644020240517152321185488"</f>
        <v>644020240517152321185488</v>
      </c>
      <c r="F8336" s="9"/>
    </row>
    <row r="8337" s="2" customFormat="1" ht="30" customHeight="1" spans="1:6">
      <c r="A8337" s="9">
        <v>8334</v>
      </c>
      <c r="B8337" s="10" t="s">
        <v>7841</v>
      </c>
      <c r="C8337" s="10" t="s">
        <v>7842</v>
      </c>
      <c r="D8337" s="10" t="s">
        <v>7963</v>
      </c>
      <c r="E8337" s="10" t="str">
        <f>"644020240517152127185485"</f>
        <v>644020240517152127185485</v>
      </c>
      <c r="F8337" s="9"/>
    </row>
    <row r="8338" s="2" customFormat="1" ht="30" customHeight="1" spans="1:6">
      <c r="A8338" s="9">
        <v>8335</v>
      </c>
      <c r="B8338" s="10" t="s">
        <v>7841</v>
      </c>
      <c r="C8338" s="10" t="s">
        <v>7842</v>
      </c>
      <c r="D8338" s="10" t="s">
        <v>7964</v>
      </c>
      <c r="E8338" s="10" t="str">
        <f>"644020240517160231185593"</f>
        <v>644020240517160231185593</v>
      </c>
      <c r="F8338" s="9"/>
    </row>
    <row r="8339" s="2" customFormat="1" ht="30" customHeight="1" spans="1:6">
      <c r="A8339" s="9">
        <v>8336</v>
      </c>
      <c r="B8339" s="10" t="s">
        <v>7841</v>
      </c>
      <c r="C8339" s="10" t="s">
        <v>7842</v>
      </c>
      <c r="D8339" s="10" t="s">
        <v>7965</v>
      </c>
      <c r="E8339" s="10" t="str">
        <f>"644020240517170702185713"</f>
        <v>644020240517170702185713</v>
      </c>
      <c r="F8339" s="9"/>
    </row>
    <row r="8340" s="2" customFormat="1" ht="30" customHeight="1" spans="1:6">
      <c r="A8340" s="9">
        <v>8337</v>
      </c>
      <c r="B8340" s="10" t="s">
        <v>7841</v>
      </c>
      <c r="C8340" s="10" t="s">
        <v>7842</v>
      </c>
      <c r="D8340" s="10" t="s">
        <v>7966</v>
      </c>
      <c r="E8340" s="10" t="str">
        <f>"644020240516164230183716"</f>
        <v>644020240516164230183716</v>
      </c>
      <c r="F8340" s="9"/>
    </row>
    <row r="8341" s="2" customFormat="1" ht="30" customHeight="1" spans="1:6">
      <c r="A8341" s="9">
        <v>8338</v>
      </c>
      <c r="B8341" s="10" t="s">
        <v>7841</v>
      </c>
      <c r="C8341" s="10" t="s">
        <v>7842</v>
      </c>
      <c r="D8341" s="10" t="s">
        <v>7967</v>
      </c>
      <c r="E8341" s="10" t="str">
        <f>"644020240513180835176367"</f>
        <v>644020240513180835176367</v>
      </c>
      <c r="F8341" s="9"/>
    </row>
    <row r="8342" s="2" customFormat="1" ht="30" customHeight="1" spans="1:6">
      <c r="A8342" s="9">
        <v>8339</v>
      </c>
      <c r="B8342" s="10" t="s">
        <v>7841</v>
      </c>
      <c r="C8342" s="10" t="s">
        <v>7842</v>
      </c>
      <c r="D8342" s="10" t="s">
        <v>7968</v>
      </c>
      <c r="E8342" s="10" t="str">
        <f>"644020240517181004185812"</f>
        <v>644020240517181004185812</v>
      </c>
      <c r="F8342" s="9"/>
    </row>
    <row r="8343" s="2" customFormat="1" ht="30" customHeight="1" spans="1:6">
      <c r="A8343" s="9">
        <v>8340</v>
      </c>
      <c r="B8343" s="10" t="s">
        <v>7841</v>
      </c>
      <c r="C8343" s="10" t="s">
        <v>7842</v>
      </c>
      <c r="D8343" s="10" t="s">
        <v>7969</v>
      </c>
      <c r="E8343" s="10" t="str">
        <f>"644020240517181825185823"</f>
        <v>644020240517181825185823</v>
      </c>
      <c r="F8343" s="9"/>
    </row>
    <row r="8344" s="2" customFormat="1" ht="30" customHeight="1" spans="1:6">
      <c r="A8344" s="9">
        <v>8341</v>
      </c>
      <c r="B8344" s="10" t="s">
        <v>7841</v>
      </c>
      <c r="C8344" s="10" t="s">
        <v>7842</v>
      </c>
      <c r="D8344" s="10" t="s">
        <v>7970</v>
      </c>
      <c r="E8344" s="10" t="str">
        <f>"644020240514111022178640"</f>
        <v>644020240514111022178640</v>
      </c>
      <c r="F8344" s="9"/>
    </row>
    <row r="8345" s="2" customFormat="1" ht="30" customHeight="1" spans="1:6">
      <c r="A8345" s="9">
        <v>8342</v>
      </c>
      <c r="B8345" s="10" t="s">
        <v>7841</v>
      </c>
      <c r="C8345" s="10" t="s">
        <v>7842</v>
      </c>
      <c r="D8345" s="10" t="s">
        <v>7971</v>
      </c>
      <c r="E8345" s="10" t="str">
        <f>"644020240517182819185833"</f>
        <v>644020240517182819185833</v>
      </c>
      <c r="F8345" s="9"/>
    </row>
    <row r="8346" s="2" customFormat="1" ht="30" customHeight="1" spans="1:6">
      <c r="A8346" s="9">
        <v>8343</v>
      </c>
      <c r="B8346" s="10" t="s">
        <v>7841</v>
      </c>
      <c r="C8346" s="10" t="s">
        <v>7842</v>
      </c>
      <c r="D8346" s="10" t="s">
        <v>7972</v>
      </c>
      <c r="E8346" s="10" t="str">
        <f>"644020240517181226185813"</f>
        <v>644020240517181226185813</v>
      </c>
      <c r="F8346" s="9"/>
    </row>
    <row r="8347" s="2" customFormat="1" ht="30" customHeight="1" spans="1:6">
      <c r="A8347" s="9">
        <v>8344</v>
      </c>
      <c r="B8347" s="10" t="s">
        <v>7841</v>
      </c>
      <c r="C8347" s="10" t="s">
        <v>7842</v>
      </c>
      <c r="D8347" s="10" t="s">
        <v>7973</v>
      </c>
      <c r="E8347" s="10" t="str">
        <f>"644020240512104113168630"</f>
        <v>644020240512104113168630</v>
      </c>
      <c r="F8347" s="9"/>
    </row>
    <row r="8348" s="2" customFormat="1" ht="30" customHeight="1" spans="1:6">
      <c r="A8348" s="9">
        <v>8345</v>
      </c>
      <c r="B8348" s="10" t="s">
        <v>7841</v>
      </c>
      <c r="C8348" s="10" t="s">
        <v>7842</v>
      </c>
      <c r="D8348" s="10" t="s">
        <v>7974</v>
      </c>
      <c r="E8348" s="10" t="str">
        <f>"644020240517095228184795"</f>
        <v>644020240517095228184795</v>
      </c>
      <c r="F8348" s="9"/>
    </row>
    <row r="8349" s="2" customFormat="1" ht="30" customHeight="1" spans="1:6">
      <c r="A8349" s="9">
        <v>8346</v>
      </c>
      <c r="B8349" s="10" t="s">
        <v>7841</v>
      </c>
      <c r="C8349" s="10" t="s">
        <v>7842</v>
      </c>
      <c r="D8349" s="10" t="s">
        <v>7975</v>
      </c>
      <c r="E8349" s="10" t="str">
        <f>"644020240516180017183881"</f>
        <v>644020240516180017183881</v>
      </c>
      <c r="F8349" s="9"/>
    </row>
    <row r="8350" s="2" customFormat="1" ht="30" customHeight="1" spans="1:6">
      <c r="A8350" s="9">
        <v>8347</v>
      </c>
      <c r="B8350" s="10" t="s">
        <v>7841</v>
      </c>
      <c r="C8350" s="10" t="s">
        <v>7842</v>
      </c>
      <c r="D8350" s="10" t="s">
        <v>7976</v>
      </c>
      <c r="E8350" s="10" t="str">
        <f>"644020240514213828180223"</f>
        <v>644020240514213828180223</v>
      </c>
      <c r="F8350" s="9"/>
    </row>
    <row r="8351" s="2" customFormat="1" ht="30" customHeight="1" spans="1:6">
      <c r="A8351" s="9">
        <v>8348</v>
      </c>
      <c r="B8351" s="10" t="s">
        <v>7841</v>
      </c>
      <c r="C8351" s="10" t="s">
        <v>7842</v>
      </c>
      <c r="D8351" s="10" t="s">
        <v>7977</v>
      </c>
      <c r="E8351" s="10" t="str">
        <f>"644020240515232044182551"</f>
        <v>644020240515232044182551</v>
      </c>
      <c r="F8351" s="9"/>
    </row>
    <row r="8352" s="2" customFormat="1" ht="30" customHeight="1" spans="1:6">
      <c r="A8352" s="9">
        <v>8349</v>
      </c>
      <c r="B8352" s="10" t="s">
        <v>7841</v>
      </c>
      <c r="C8352" s="10" t="s">
        <v>7842</v>
      </c>
      <c r="D8352" s="10" t="s">
        <v>7978</v>
      </c>
      <c r="E8352" s="10" t="str">
        <f>"644020240518000034186154"</f>
        <v>644020240518000034186154</v>
      </c>
      <c r="F8352" s="9"/>
    </row>
    <row r="8353" s="2" customFormat="1" ht="30" customHeight="1" spans="1:6">
      <c r="A8353" s="9">
        <v>8350</v>
      </c>
      <c r="B8353" s="10" t="s">
        <v>7841</v>
      </c>
      <c r="C8353" s="10" t="s">
        <v>7842</v>
      </c>
      <c r="D8353" s="10" t="s">
        <v>7979</v>
      </c>
      <c r="E8353" s="10" t="str">
        <f>"644020240517234516186125"</f>
        <v>644020240517234516186125</v>
      </c>
      <c r="F8353" s="9"/>
    </row>
    <row r="8354" s="2" customFormat="1" ht="30" customHeight="1" spans="1:6">
      <c r="A8354" s="9">
        <v>8351</v>
      </c>
      <c r="B8354" s="10" t="s">
        <v>7841</v>
      </c>
      <c r="C8354" s="10" t="s">
        <v>7842</v>
      </c>
      <c r="D8354" s="10" t="s">
        <v>7980</v>
      </c>
      <c r="E8354" s="10" t="str">
        <f>"644020240517214542186026"</f>
        <v>644020240517214542186026</v>
      </c>
      <c r="F8354" s="9"/>
    </row>
    <row r="8355" s="2" customFormat="1" ht="30" customHeight="1" spans="1:6">
      <c r="A8355" s="9">
        <v>8352</v>
      </c>
      <c r="B8355" s="10" t="s">
        <v>7841</v>
      </c>
      <c r="C8355" s="10" t="s">
        <v>7842</v>
      </c>
      <c r="D8355" s="10" t="s">
        <v>7981</v>
      </c>
      <c r="E8355" s="10" t="str">
        <f>"644020240515171233181978"</f>
        <v>644020240515171233181978</v>
      </c>
      <c r="F8355" s="9"/>
    </row>
    <row r="8356" s="2" customFormat="1" ht="30" customHeight="1" spans="1:6">
      <c r="A8356" s="9">
        <v>8353</v>
      </c>
      <c r="B8356" s="10" t="s">
        <v>7841</v>
      </c>
      <c r="C8356" s="10" t="s">
        <v>7842</v>
      </c>
      <c r="D8356" s="10" t="s">
        <v>7982</v>
      </c>
      <c r="E8356" s="10" t="str">
        <f>"644020240517114805185058"</f>
        <v>644020240517114805185058</v>
      </c>
      <c r="F8356" s="9"/>
    </row>
    <row r="8357" s="2" customFormat="1" ht="30" customHeight="1" spans="1:6">
      <c r="A8357" s="9">
        <v>8354</v>
      </c>
      <c r="B8357" s="10" t="s">
        <v>7841</v>
      </c>
      <c r="C8357" s="10" t="s">
        <v>7842</v>
      </c>
      <c r="D8357" s="10" t="s">
        <v>7983</v>
      </c>
      <c r="E8357" s="10" t="str">
        <f>"644020240518055228186314"</f>
        <v>644020240518055228186314</v>
      </c>
      <c r="F8357" s="9"/>
    </row>
    <row r="8358" s="2" customFormat="1" ht="30" customHeight="1" spans="1:6">
      <c r="A8358" s="9">
        <v>8355</v>
      </c>
      <c r="B8358" s="10" t="s">
        <v>7841</v>
      </c>
      <c r="C8358" s="10" t="s">
        <v>7842</v>
      </c>
      <c r="D8358" s="10" t="s">
        <v>7984</v>
      </c>
      <c r="E8358" s="10" t="str">
        <f>"644020240518073726186346"</f>
        <v>644020240518073726186346</v>
      </c>
      <c r="F8358" s="9"/>
    </row>
    <row r="8359" s="2" customFormat="1" ht="30" customHeight="1" spans="1:6">
      <c r="A8359" s="9">
        <v>8356</v>
      </c>
      <c r="B8359" s="10" t="s">
        <v>7841</v>
      </c>
      <c r="C8359" s="10" t="s">
        <v>7842</v>
      </c>
      <c r="D8359" s="10" t="s">
        <v>4261</v>
      </c>
      <c r="E8359" s="10" t="str">
        <f>"644020240517144210185383"</f>
        <v>644020240517144210185383</v>
      </c>
      <c r="F8359" s="9"/>
    </row>
    <row r="8360" s="2" customFormat="1" ht="30" customHeight="1" spans="1:6">
      <c r="A8360" s="9">
        <v>8357</v>
      </c>
      <c r="B8360" s="10" t="s">
        <v>7841</v>
      </c>
      <c r="C8360" s="10" t="s">
        <v>7842</v>
      </c>
      <c r="D8360" s="10" t="s">
        <v>1381</v>
      </c>
      <c r="E8360" s="10" t="str">
        <f>"644020240514153720179331"</f>
        <v>644020240514153720179331</v>
      </c>
      <c r="F8360" s="9"/>
    </row>
    <row r="8361" s="2" customFormat="1" ht="30" customHeight="1" spans="1:6">
      <c r="A8361" s="9">
        <v>8358</v>
      </c>
      <c r="B8361" s="10" t="s">
        <v>7841</v>
      </c>
      <c r="C8361" s="10" t="s">
        <v>7842</v>
      </c>
      <c r="D8361" s="10" t="s">
        <v>7985</v>
      </c>
      <c r="E8361" s="10" t="str">
        <f>"644020240517210422185952"</f>
        <v>644020240517210422185952</v>
      </c>
      <c r="F8361" s="9"/>
    </row>
    <row r="8362" s="2" customFormat="1" ht="30" customHeight="1" spans="1:6">
      <c r="A8362" s="9">
        <v>8359</v>
      </c>
      <c r="B8362" s="10" t="s">
        <v>7841</v>
      </c>
      <c r="C8362" s="10" t="s">
        <v>7842</v>
      </c>
      <c r="D8362" s="10" t="s">
        <v>7986</v>
      </c>
      <c r="E8362" s="10" t="str">
        <f>"644020240518004823186216"</f>
        <v>644020240518004823186216</v>
      </c>
      <c r="F8362" s="9"/>
    </row>
    <row r="8363" s="2" customFormat="1" ht="30" customHeight="1" spans="1:6">
      <c r="A8363" s="9">
        <v>8360</v>
      </c>
      <c r="B8363" s="10" t="s">
        <v>7841</v>
      </c>
      <c r="C8363" s="10" t="s">
        <v>7842</v>
      </c>
      <c r="D8363" s="10" t="s">
        <v>7987</v>
      </c>
      <c r="E8363" s="10" t="str">
        <f>"644020240517165240185690"</f>
        <v>644020240517165240185690</v>
      </c>
      <c r="F8363" s="9"/>
    </row>
    <row r="8364" s="2" customFormat="1" ht="30" customHeight="1" spans="1:6">
      <c r="A8364" s="9">
        <v>8361</v>
      </c>
      <c r="B8364" s="10" t="s">
        <v>7841</v>
      </c>
      <c r="C8364" s="10" t="s">
        <v>7842</v>
      </c>
      <c r="D8364" s="10" t="s">
        <v>7988</v>
      </c>
      <c r="E8364" s="10" t="str">
        <f>"644020240515151847181664"</f>
        <v>644020240515151847181664</v>
      </c>
      <c r="F8364" s="9"/>
    </row>
    <row r="8365" s="2" customFormat="1" ht="30" customHeight="1" spans="1:6">
      <c r="A8365" s="9">
        <v>8362</v>
      </c>
      <c r="B8365" s="10" t="s">
        <v>7989</v>
      </c>
      <c r="C8365" s="10" t="s">
        <v>7990</v>
      </c>
      <c r="D8365" s="10" t="s">
        <v>7991</v>
      </c>
      <c r="E8365" s="10" t="str">
        <f>"644020240512100202168400"</f>
        <v>644020240512100202168400</v>
      </c>
      <c r="F8365" s="9"/>
    </row>
    <row r="8366" s="2" customFormat="1" ht="30" customHeight="1" spans="1:6">
      <c r="A8366" s="9">
        <v>8363</v>
      </c>
      <c r="B8366" s="10" t="s">
        <v>7989</v>
      </c>
      <c r="C8366" s="10" t="s">
        <v>7990</v>
      </c>
      <c r="D8366" s="10" t="s">
        <v>7992</v>
      </c>
      <c r="E8366" s="10" t="str">
        <f>"644020240512113625168920"</f>
        <v>644020240512113625168920</v>
      </c>
      <c r="F8366" s="9"/>
    </row>
    <row r="8367" s="2" customFormat="1" ht="30" customHeight="1" spans="1:6">
      <c r="A8367" s="9">
        <v>8364</v>
      </c>
      <c r="B8367" s="10" t="s">
        <v>7989</v>
      </c>
      <c r="C8367" s="10" t="s">
        <v>7990</v>
      </c>
      <c r="D8367" s="10" t="s">
        <v>7993</v>
      </c>
      <c r="E8367" s="10" t="str">
        <f>"644020240512114155168944"</f>
        <v>644020240512114155168944</v>
      </c>
      <c r="F8367" s="9"/>
    </row>
    <row r="8368" s="2" customFormat="1" ht="30" customHeight="1" spans="1:6">
      <c r="A8368" s="9">
        <v>8365</v>
      </c>
      <c r="B8368" s="10" t="s">
        <v>7989</v>
      </c>
      <c r="C8368" s="10" t="s">
        <v>7990</v>
      </c>
      <c r="D8368" s="10" t="s">
        <v>7994</v>
      </c>
      <c r="E8368" s="10" t="str">
        <f>"644020240512112413168855"</f>
        <v>644020240512112413168855</v>
      </c>
      <c r="F8368" s="9"/>
    </row>
    <row r="8369" s="2" customFormat="1" ht="30" customHeight="1" spans="1:6">
      <c r="A8369" s="9">
        <v>8366</v>
      </c>
      <c r="B8369" s="10" t="s">
        <v>7989</v>
      </c>
      <c r="C8369" s="10" t="s">
        <v>7990</v>
      </c>
      <c r="D8369" s="10" t="s">
        <v>7995</v>
      </c>
      <c r="E8369" s="10" t="str">
        <f>"644020240512095254168338"</f>
        <v>644020240512095254168338</v>
      </c>
      <c r="F8369" s="9"/>
    </row>
    <row r="8370" s="2" customFormat="1" ht="30" customHeight="1" spans="1:6">
      <c r="A8370" s="9">
        <v>8367</v>
      </c>
      <c r="B8370" s="10" t="s">
        <v>7989</v>
      </c>
      <c r="C8370" s="10" t="s">
        <v>7990</v>
      </c>
      <c r="D8370" s="10" t="s">
        <v>7996</v>
      </c>
      <c r="E8370" s="10" t="str">
        <f>"644020240512174050170249"</f>
        <v>644020240512174050170249</v>
      </c>
      <c r="F8370" s="9"/>
    </row>
    <row r="8371" s="2" customFormat="1" ht="30" customHeight="1" spans="1:6">
      <c r="A8371" s="9">
        <v>8368</v>
      </c>
      <c r="B8371" s="10" t="s">
        <v>7989</v>
      </c>
      <c r="C8371" s="10" t="s">
        <v>7990</v>
      </c>
      <c r="D8371" s="10" t="s">
        <v>7997</v>
      </c>
      <c r="E8371" s="10" t="str">
        <f>"644020240512230726171718"</f>
        <v>644020240512230726171718</v>
      </c>
      <c r="F8371" s="9"/>
    </row>
    <row r="8372" s="2" customFormat="1" ht="30" customHeight="1" spans="1:6">
      <c r="A8372" s="9">
        <v>8369</v>
      </c>
      <c r="B8372" s="10" t="s">
        <v>7989</v>
      </c>
      <c r="C8372" s="10" t="s">
        <v>7990</v>
      </c>
      <c r="D8372" s="10" t="s">
        <v>7998</v>
      </c>
      <c r="E8372" s="10" t="str">
        <f>"644020240512153150169767"</f>
        <v>644020240512153150169767</v>
      </c>
      <c r="F8372" s="9"/>
    </row>
    <row r="8373" s="2" customFormat="1" ht="30" customHeight="1" spans="1:6">
      <c r="A8373" s="9">
        <v>8370</v>
      </c>
      <c r="B8373" s="10" t="s">
        <v>7989</v>
      </c>
      <c r="C8373" s="10" t="s">
        <v>7990</v>
      </c>
      <c r="D8373" s="10" t="s">
        <v>7999</v>
      </c>
      <c r="E8373" s="10" t="str">
        <f>"644020240513084832172407"</f>
        <v>644020240513084832172407</v>
      </c>
      <c r="F8373" s="9"/>
    </row>
    <row r="8374" s="2" customFormat="1" ht="30" customHeight="1" spans="1:6">
      <c r="A8374" s="9">
        <v>8371</v>
      </c>
      <c r="B8374" s="10" t="s">
        <v>7989</v>
      </c>
      <c r="C8374" s="10" t="s">
        <v>7990</v>
      </c>
      <c r="D8374" s="10" t="s">
        <v>8000</v>
      </c>
      <c r="E8374" s="10" t="str">
        <f>"644020240513095825173101"</f>
        <v>644020240513095825173101</v>
      </c>
      <c r="F8374" s="9"/>
    </row>
    <row r="8375" s="2" customFormat="1" ht="30" customHeight="1" spans="1:6">
      <c r="A8375" s="9">
        <v>8372</v>
      </c>
      <c r="B8375" s="10" t="s">
        <v>7989</v>
      </c>
      <c r="C8375" s="10" t="s">
        <v>7990</v>
      </c>
      <c r="D8375" s="10" t="s">
        <v>8001</v>
      </c>
      <c r="E8375" s="10" t="str">
        <f>"644020240513101049173214"</f>
        <v>644020240513101049173214</v>
      </c>
      <c r="F8375" s="9"/>
    </row>
    <row r="8376" s="2" customFormat="1" ht="30" customHeight="1" spans="1:6">
      <c r="A8376" s="9">
        <v>8373</v>
      </c>
      <c r="B8376" s="10" t="s">
        <v>7989</v>
      </c>
      <c r="C8376" s="10" t="s">
        <v>7990</v>
      </c>
      <c r="D8376" s="10" t="s">
        <v>8002</v>
      </c>
      <c r="E8376" s="10" t="str">
        <f>"644020240513094146172926"</f>
        <v>644020240513094146172926</v>
      </c>
      <c r="F8376" s="9"/>
    </row>
    <row r="8377" s="2" customFormat="1" ht="30" customHeight="1" spans="1:6">
      <c r="A8377" s="9">
        <v>8374</v>
      </c>
      <c r="B8377" s="10" t="s">
        <v>7989</v>
      </c>
      <c r="C8377" s="10" t="s">
        <v>7990</v>
      </c>
      <c r="D8377" s="10" t="s">
        <v>8003</v>
      </c>
      <c r="E8377" s="10" t="str">
        <f>"644020240512120738169044"</f>
        <v>644020240512120738169044</v>
      </c>
      <c r="F8377" s="9"/>
    </row>
    <row r="8378" s="2" customFormat="1" ht="30" customHeight="1" spans="1:6">
      <c r="A8378" s="9">
        <v>8375</v>
      </c>
      <c r="B8378" s="10" t="s">
        <v>7989</v>
      </c>
      <c r="C8378" s="10" t="s">
        <v>7990</v>
      </c>
      <c r="D8378" s="10" t="s">
        <v>8004</v>
      </c>
      <c r="E8378" s="10" t="str">
        <f>"644020240513145100175117"</f>
        <v>644020240513145100175117</v>
      </c>
      <c r="F8378" s="9"/>
    </row>
    <row r="8379" s="2" customFormat="1" ht="30" customHeight="1" spans="1:6">
      <c r="A8379" s="9">
        <v>8376</v>
      </c>
      <c r="B8379" s="10" t="s">
        <v>7989</v>
      </c>
      <c r="C8379" s="10" t="s">
        <v>7990</v>
      </c>
      <c r="D8379" s="10" t="s">
        <v>8005</v>
      </c>
      <c r="E8379" s="10" t="str">
        <f>"644020240513104350173542"</f>
        <v>644020240513104350173542</v>
      </c>
      <c r="F8379" s="9"/>
    </row>
    <row r="8380" s="2" customFormat="1" ht="30" customHeight="1" spans="1:6">
      <c r="A8380" s="9">
        <v>8377</v>
      </c>
      <c r="B8380" s="10" t="s">
        <v>7989</v>
      </c>
      <c r="C8380" s="10" t="s">
        <v>7990</v>
      </c>
      <c r="D8380" s="10" t="s">
        <v>8006</v>
      </c>
      <c r="E8380" s="10" t="str">
        <f>"644020240513085916172474"</f>
        <v>644020240513085916172474</v>
      </c>
      <c r="F8380" s="9"/>
    </row>
    <row r="8381" s="2" customFormat="1" ht="30" customHeight="1" spans="1:6">
      <c r="A8381" s="9">
        <v>8378</v>
      </c>
      <c r="B8381" s="10" t="s">
        <v>7989</v>
      </c>
      <c r="C8381" s="10" t="s">
        <v>7990</v>
      </c>
      <c r="D8381" s="10" t="s">
        <v>8007</v>
      </c>
      <c r="E8381" s="10" t="str">
        <f>"644020240513184427176459"</f>
        <v>644020240513184427176459</v>
      </c>
      <c r="F8381" s="9"/>
    </row>
    <row r="8382" s="2" customFormat="1" ht="30" customHeight="1" spans="1:6">
      <c r="A8382" s="9">
        <v>8379</v>
      </c>
      <c r="B8382" s="10" t="s">
        <v>7989</v>
      </c>
      <c r="C8382" s="10" t="s">
        <v>7990</v>
      </c>
      <c r="D8382" s="10" t="s">
        <v>8008</v>
      </c>
      <c r="E8382" s="10" t="str">
        <f>"644020240513184858176475"</f>
        <v>644020240513184858176475</v>
      </c>
      <c r="F8382" s="9"/>
    </row>
    <row r="8383" s="2" customFormat="1" ht="30" customHeight="1" spans="1:6">
      <c r="A8383" s="9">
        <v>8380</v>
      </c>
      <c r="B8383" s="10" t="s">
        <v>7989</v>
      </c>
      <c r="C8383" s="10" t="s">
        <v>7990</v>
      </c>
      <c r="D8383" s="10" t="s">
        <v>8009</v>
      </c>
      <c r="E8383" s="10" t="str">
        <f>"644020240512210057171000"</f>
        <v>644020240512210057171000</v>
      </c>
      <c r="F8383" s="9"/>
    </row>
    <row r="8384" s="2" customFormat="1" ht="30" customHeight="1" spans="1:6">
      <c r="A8384" s="9">
        <v>8381</v>
      </c>
      <c r="B8384" s="10" t="s">
        <v>7989</v>
      </c>
      <c r="C8384" s="10" t="s">
        <v>7990</v>
      </c>
      <c r="D8384" s="10" t="s">
        <v>8010</v>
      </c>
      <c r="E8384" s="10" t="str">
        <f>"644020240513123242174314"</f>
        <v>644020240513123242174314</v>
      </c>
      <c r="F8384" s="9"/>
    </row>
    <row r="8385" s="2" customFormat="1" ht="30" customHeight="1" spans="1:6">
      <c r="A8385" s="9">
        <v>8382</v>
      </c>
      <c r="B8385" s="10" t="s">
        <v>7989</v>
      </c>
      <c r="C8385" s="10" t="s">
        <v>7990</v>
      </c>
      <c r="D8385" s="10" t="s">
        <v>8011</v>
      </c>
      <c r="E8385" s="10" t="str">
        <f>"644020240513222053177330"</f>
        <v>644020240513222053177330</v>
      </c>
      <c r="F8385" s="9"/>
    </row>
    <row r="8386" s="2" customFormat="1" ht="30" customHeight="1" spans="1:6">
      <c r="A8386" s="9">
        <v>8383</v>
      </c>
      <c r="B8386" s="10" t="s">
        <v>7989</v>
      </c>
      <c r="C8386" s="10" t="s">
        <v>7990</v>
      </c>
      <c r="D8386" s="10" t="s">
        <v>8012</v>
      </c>
      <c r="E8386" s="10" t="str">
        <f>"644020240513113523173998"</f>
        <v>644020240513113523173998</v>
      </c>
      <c r="F8386" s="9"/>
    </row>
    <row r="8387" s="2" customFormat="1" ht="30" customHeight="1" spans="1:6">
      <c r="A8387" s="9">
        <v>8384</v>
      </c>
      <c r="B8387" s="10" t="s">
        <v>7989</v>
      </c>
      <c r="C8387" s="10" t="s">
        <v>7990</v>
      </c>
      <c r="D8387" s="10" t="s">
        <v>8013</v>
      </c>
      <c r="E8387" s="10" t="str">
        <f>"644020240513233006177582"</f>
        <v>644020240513233006177582</v>
      </c>
      <c r="F8387" s="9"/>
    </row>
    <row r="8388" s="2" customFormat="1" ht="30" customHeight="1" spans="1:6">
      <c r="A8388" s="9">
        <v>8385</v>
      </c>
      <c r="B8388" s="10" t="s">
        <v>7989</v>
      </c>
      <c r="C8388" s="10" t="s">
        <v>7990</v>
      </c>
      <c r="D8388" s="10" t="s">
        <v>3380</v>
      </c>
      <c r="E8388" s="10" t="str">
        <f>"644020240514010424177723"</f>
        <v>644020240514010424177723</v>
      </c>
      <c r="F8388" s="9"/>
    </row>
    <row r="8389" s="2" customFormat="1" ht="30" customHeight="1" spans="1:6">
      <c r="A8389" s="9">
        <v>8386</v>
      </c>
      <c r="B8389" s="10" t="s">
        <v>7989</v>
      </c>
      <c r="C8389" s="10" t="s">
        <v>7990</v>
      </c>
      <c r="D8389" s="10" t="s">
        <v>8014</v>
      </c>
      <c r="E8389" s="10" t="str">
        <f>"644020240513053202172095"</f>
        <v>644020240513053202172095</v>
      </c>
      <c r="F8389" s="9"/>
    </row>
    <row r="8390" s="2" customFormat="1" ht="30" customHeight="1" spans="1:6">
      <c r="A8390" s="9">
        <v>8387</v>
      </c>
      <c r="B8390" s="10" t="s">
        <v>7989</v>
      </c>
      <c r="C8390" s="10" t="s">
        <v>7990</v>
      </c>
      <c r="D8390" s="10" t="s">
        <v>8015</v>
      </c>
      <c r="E8390" s="10" t="str">
        <f>"644020240513212805177080"</f>
        <v>644020240513212805177080</v>
      </c>
      <c r="F8390" s="9"/>
    </row>
    <row r="8391" s="2" customFormat="1" ht="30" customHeight="1" spans="1:6">
      <c r="A8391" s="9">
        <v>8388</v>
      </c>
      <c r="B8391" s="10" t="s">
        <v>7989</v>
      </c>
      <c r="C8391" s="10" t="s">
        <v>7990</v>
      </c>
      <c r="D8391" s="10" t="s">
        <v>8016</v>
      </c>
      <c r="E8391" s="10" t="str">
        <f>"644020240513102421173355"</f>
        <v>644020240513102421173355</v>
      </c>
      <c r="F8391" s="9"/>
    </row>
    <row r="8392" s="2" customFormat="1" ht="30" customHeight="1" spans="1:6">
      <c r="A8392" s="9">
        <v>8389</v>
      </c>
      <c r="B8392" s="10" t="s">
        <v>7989</v>
      </c>
      <c r="C8392" s="10" t="s">
        <v>7990</v>
      </c>
      <c r="D8392" s="10" t="s">
        <v>8017</v>
      </c>
      <c r="E8392" s="10" t="str">
        <f>"644020240512150816169677"</f>
        <v>644020240512150816169677</v>
      </c>
      <c r="F8392" s="9"/>
    </row>
    <row r="8393" s="2" customFormat="1" ht="30" customHeight="1" spans="1:6">
      <c r="A8393" s="9">
        <v>8390</v>
      </c>
      <c r="B8393" s="10" t="s">
        <v>7989</v>
      </c>
      <c r="C8393" s="10" t="s">
        <v>7990</v>
      </c>
      <c r="D8393" s="10" t="s">
        <v>8018</v>
      </c>
      <c r="E8393" s="10" t="str">
        <f>"644020240512184007170435"</f>
        <v>644020240512184007170435</v>
      </c>
      <c r="F8393" s="9"/>
    </row>
    <row r="8394" s="2" customFormat="1" ht="30" customHeight="1" spans="1:6">
      <c r="A8394" s="9">
        <v>8391</v>
      </c>
      <c r="B8394" s="10" t="s">
        <v>7989</v>
      </c>
      <c r="C8394" s="10" t="s">
        <v>7990</v>
      </c>
      <c r="D8394" s="10" t="s">
        <v>8019</v>
      </c>
      <c r="E8394" s="10" t="str">
        <f>"644020240513002410171983"</f>
        <v>644020240513002410171983</v>
      </c>
      <c r="F8394" s="9"/>
    </row>
    <row r="8395" s="2" customFormat="1" ht="30" customHeight="1" spans="1:6">
      <c r="A8395" s="9">
        <v>8392</v>
      </c>
      <c r="B8395" s="10" t="s">
        <v>7989</v>
      </c>
      <c r="C8395" s="10" t="s">
        <v>7990</v>
      </c>
      <c r="D8395" s="10" t="s">
        <v>8020</v>
      </c>
      <c r="E8395" s="10" t="str">
        <f>"644020240513140420174815"</f>
        <v>644020240513140420174815</v>
      </c>
      <c r="F8395" s="9"/>
    </row>
    <row r="8396" s="2" customFormat="1" ht="30" customHeight="1" spans="1:6">
      <c r="A8396" s="9">
        <v>8393</v>
      </c>
      <c r="B8396" s="10" t="s">
        <v>7989</v>
      </c>
      <c r="C8396" s="10" t="s">
        <v>7990</v>
      </c>
      <c r="D8396" s="10" t="s">
        <v>8021</v>
      </c>
      <c r="E8396" s="10" t="str">
        <f>"644020240514000849177653"</f>
        <v>644020240514000849177653</v>
      </c>
      <c r="F8396" s="9"/>
    </row>
    <row r="8397" s="2" customFormat="1" ht="30" customHeight="1" spans="1:6">
      <c r="A8397" s="9">
        <v>8394</v>
      </c>
      <c r="B8397" s="10" t="s">
        <v>7989</v>
      </c>
      <c r="C8397" s="10" t="s">
        <v>7990</v>
      </c>
      <c r="D8397" s="10" t="s">
        <v>8022</v>
      </c>
      <c r="E8397" s="10" t="str">
        <f>"644020240514154609179354"</f>
        <v>644020240514154609179354</v>
      </c>
      <c r="F8397" s="9"/>
    </row>
    <row r="8398" s="2" customFormat="1" ht="30" customHeight="1" spans="1:6">
      <c r="A8398" s="9">
        <v>8395</v>
      </c>
      <c r="B8398" s="10" t="s">
        <v>7989</v>
      </c>
      <c r="C8398" s="10" t="s">
        <v>7990</v>
      </c>
      <c r="D8398" s="10" t="s">
        <v>8023</v>
      </c>
      <c r="E8398" s="10" t="str">
        <f>"644020240514171654179675"</f>
        <v>644020240514171654179675</v>
      </c>
      <c r="F8398" s="9"/>
    </row>
    <row r="8399" s="2" customFormat="1" ht="30" customHeight="1" spans="1:6">
      <c r="A8399" s="9">
        <v>8396</v>
      </c>
      <c r="B8399" s="10" t="s">
        <v>7989</v>
      </c>
      <c r="C8399" s="10" t="s">
        <v>7990</v>
      </c>
      <c r="D8399" s="10" t="s">
        <v>8024</v>
      </c>
      <c r="E8399" s="10" t="str">
        <f>"644020240513214959177172"</f>
        <v>644020240513214959177172</v>
      </c>
      <c r="F8399" s="9"/>
    </row>
    <row r="8400" s="2" customFormat="1" ht="30" customHeight="1" spans="1:6">
      <c r="A8400" s="9">
        <v>8397</v>
      </c>
      <c r="B8400" s="10" t="s">
        <v>7989</v>
      </c>
      <c r="C8400" s="10" t="s">
        <v>7990</v>
      </c>
      <c r="D8400" s="10" t="s">
        <v>3868</v>
      </c>
      <c r="E8400" s="10" t="str">
        <f>"644020240513223206177373"</f>
        <v>644020240513223206177373</v>
      </c>
      <c r="F8400" s="9"/>
    </row>
    <row r="8401" s="2" customFormat="1" ht="30" customHeight="1" spans="1:6">
      <c r="A8401" s="9">
        <v>8398</v>
      </c>
      <c r="B8401" s="10" t="s">
        <v>7989</v>
      </c>
      <c r="C8401" s="10" t="s">
        <v>7990</v>
      </c>
      <c r="D8401" s="10" t="s">
        <v>8025</v>
      </c>
      <c r="E8401" s="10" t="str">
        <f>"644020240512123441169137"</f>
        <v>644020240512123441169137</v>
      </c>
      <c r="F8401" s="9"/>
    </row>
    <row r="8402" s="2" customFormat="1" ht="30" customHeight="1" spans="1:6">
      <c r="A8402" s="9">
        <v>8399</v>
      </c>
      <c r="B8402" s="10" t="s">
        <v>7989</v>
      </c>
      <c r="C8402" s="10" t="s">
        <v>7990</v>
      </c>
      <c r="D8402" s="10" t="s">
        <v>8026</v>
      </c>
      <c r="E8402" s="10" t="str">
        <f>"644020240514225610180448"</f>
        <v>644020240514225610180448</v>
      </c>
      <c r="F8402" s="9"/>
    </row>
    <row r="8403" s="2" customFormat="1" ht="30" customHeight="1" spans="1:6">
      <c r="A8403" s="9">
        <v>8400</v>
      </c>
      <c r="B8403" s="10" t="s">
        <v>7989</v>
      </c>
      <c r="C8403" s="10" t="s">
        <v>7990</v>
      </c>
      <c r="D8403" s="10" t="s">
        <v>8027</v>
      </c>
      <c r="E8403" s="10" t="str">
        <f>"644020240512224956171612"</f>
        <v>644020240512224956171612</v>
      </c>
      <c r="F8403" s="9"/>
    </row>
    <row r="8404" s="2" customFormat="1" ht="30" customHeight="1" spans="1:6">
      <c r="A8404" s="9">
        <v>8401</v>
      </c>
      <c r="B8404" s="10" t="s">
        <v>7989</v>
      </c>
      <c r="C8404" s="10" t="s">
        <v>7990</v>
      </c>
      <c r="D8404" s="10" t="s">
        <v>8028</v>
      </c>
      <c r="E8404" s="10" t="str">
        <f>"644020240513210956176998"</f>
        <v>644020240513210956176998</v>
      </c>
      <c r="F8404" s="9"/>
    </row>
    <row r="8405" s="2" customFormat="1" ht="30" customHeight="1" spans="1:6">
      <c r="A8405" s="9">
        <v>8402</v>
      </c>
      <c r="B8405" s="10" t="s">
        <v>7989</v>
      </c>
      <c r="C8405" s="10" t="s">
        <v>7990</v>
      </c>
      <c r="D8405" s="10" t="s">
        <v>8029</v>
      </c>
      <c r="E8405" s="10" t="str">
        <f>"644020240513180032176345"</f>
        <v>644020240513180032176345</v>
      </c>
      <c r="F8405" s="9"/>
    </row>
    <row r="8406" s="2" customFormat="1" ht="30" customHeight="1" spans="1:6">
      <c r="A8406" s="9">
        <v>8403</v>
      </c>
      <c r="B8406" s="10" t="s">
        <v>7989</v>
      </c>
      <c r="C8406" s="10" t="s">
        <v>7990</v>
      </c>
      <c r="D8406" s="10" t="s">
        <v>8030</v>
      </c>
      <c r="E8406" s="10" t="str">
        <f>"644020240514083532177868"</f>
        <v>644020240514083532177868</v>
      </c>
      <c r="F8406" s="9"/>
    </row>
    <row r="8407" s="2" customFormat="1" ht="30" customHeight="1" spans="1:6">
      <c r="A8407" s="9">
        <v>8404</v>
      </c>
      <c r="B8407" s="10" t="s">
        <v>7989</v>
      </c>
      <c r="C8407" s="10" t="s">
        <v>7990</v>
      </c>
      <c r="D8407" s="10" t="s">
        <v>8031</v>
      </c>
      <c r="E8407" s="10" t="str">
        <f>"644020240515093712180873"</f>
        <v>644020240515093712180873</v>
      </c>
      <c r="F8407" s="9"/>
    </row>
    <row r="8408" s="2" customFormat="1" ht="30" customHeight="1" spans="1:6">
      <c r="A8408" s="9">
        <v>8405</v>
      </c>
      <c r="B8408" s="10" t="s">
        <v>7989</v>
      </c>
      <c r="C8408" s="10" t="s">
        <v>7990</v>
      </c>
      <c r="D8408" s="10" t="s">
        <v>8032</v>
      </c>
      <c r="E8408" s="10" t="str">
        <f>"644020240513181907176397"</f>
        <v>644020240513181907176397</v>
      </c>
      <c r="F8408" s="9"/>
    </row>
    <row r="8409" s="2" customFormat="1" ht="30" customHeight="1" spans="1:6">
      <c r="A8409" s="9">
        <v>8406</v>
      </c>
      <c r="B8409" s="10" t="s">
        <v>7989</v>
      </c>
      <c r="C8409" s="10" t="s">
        <v>7990</v>
      </c>
      <c r="D8409" s="10" t="s">
        <v>8033</v>
      </c>
      <c r="E8409" s="10" t="str">
        <f>"644020240515105544181131"</f>
        <v>644020240515105544181131</v>
      </c>
      <c r="F8409" s="9"/>
    </row>
    <row r="8410" s="2" customFormat="1" ht="30" customHeight="1" spans="1:6">
      <c r="A8410" s="9">
        <v>8407</v>
      </c>
      <c r="B8410" s="10" t="s">
        <v>7989</v>
      </c>
      <c r="C8410" s="10" t="s">
        <v>7990</v>
      </c>
      <c r="D8410" s="10" t="s">
        <v>8034</v>
      </c>
      <c r="E8410" s="10" t="str">
        <f>"644020240514223715180402"</f>
        <v>644020240514223715180402</v>
      </c>
      <c r="F8410" s="9"/>
    </row>
    <row r="8411" s="2" customFormat="1" ht="30" customHeight="1" spans="1:6">
      <c r="A8411" s="9">
        <v>8408</v>
      </c>
      <c r="B8411" s="10" t="s">
        <v>7989</v>
      </c>
      <c r="C8411" s="10" t="s">
        <v>7990</v>
      </c>
      <c r="D8411" s="10" t="s">
        <v>8035</v>
      </c>
      <c r="E8411" s="10" t="str">
        <f>"644020240515125930181414"</f>
        <v>644020240515125930181414</v>
      </c>
      <c r="F8411" s="9"/>
    </row>
    <row r="8412" s="2" customFormat="1" ht="30" customHeight="1" spans="1:6">
      <c r="A8412" s="9">
        <v>8409</v>
      </c>
      <c r="B8412" s="10" t="s">
        <v>7989</v>
      </c>
      <c r="C8412" s="10" t="s">
        <v>7990</v>
      </c>
      <c r="D8412" s="10" t="s">
        <v>8036</v>
      </c>
      <c r="E8412" s="10" t="str">
        <f>"644020240515141323181531"</f>
        <v>644020240515141323181531</v>
      </c>
      <c r="F8412" s="9"/>
    </row>
    <row r="8413" s="2" customFormat="1" ht="30" customHeight="1" spans="1:6">
      <c r="A8413" s="9">
        <v>8410</v>
      </c>
      <c r="B8413" s="10" t="s">
        <v>7989</v>
      </c>
      <c r="C8413" s="10" t="s">
        <v>7990</v>
      </c>
      <c r="D8413" s="10" t="s">
        <v>8037</v>
      </c>
      <c r="E8413" s="10" t="str">
        <f>"644020240512220718171365"</f>
        <v>644020240512220718171365</v>
      </c>
      <c r="F8413" s="9"/>
    </row>
    <row r="8414" s="2" customFormat="1" ht="30" customHeight="1" spans="1:6">
      <c r="A8414" s="9">
        <v>8411</v>
      </c>
      <c r="B8414" s="10" t="s">
        <v>7989</v>
      </c>
      <c r="C8414" s="10" t="s">
        <v>7990</v>
      </c>
      <c r="D8414" s="10" t="s">
        <v>8038</v>
      </c>
      <c r="E8414" s="10" t="str">
        <f>"644020240513104949173597"</f>
        <v>644020240513104949173597</v>
      </c>
      <c r="F8414" s="9"/>
    </row>
    <row r="8415" s="2" customFormat="1" ht="30" customHeight="1" spans="1:6">
      <c r="A8415" s="9">
        <v>8412</v>
      </c>
      <c r="B8415" s="10" t="s">
        <v>7989</v>
      </c>
      <c r="C8415" s="10" t="s">
        <v>7990</v>
      </c>
      <c r="D8415" s="10" t="s">
        <v>8039</v>
      </c>
      <c r="E8415" s="10" t="str">
        <f>"644020240513142741174958"</f>
        <v>644020240513142741174958</v>
      </c>
      <c r="F8415" s="9"/>
    </row>
    <row r="8416" s="2" customFormat="1" ht="30" customHeight="1" spans="1:6">
      <c r="A8416" s="9">
        <v>8413</v>
      </c>
      <c r="B8416" s="10" t="s">
        <v>7989</v>
      </c>
      <c r="C8416" s="10" t="s">
        <v>7990</v>
      </c>
      <c r="D8416" s="10" t="s">
        <v>8040</v>
      </c>
      <c r="E8416" s="10" t="str">
        <f>"644020240514161842179461"</f>
        <v>644020240514161842179461</v>
      </c>
      <c r="F8416" s="9"/>
    </row>
    <row r="8417" s="2" customFormat="1" ht="30" customHeight="1" spans="1:6">
      <c r="A8417" s="9">
        <v>8414</v>
      </c>
      <c r="B8417" s="10" t="s">
        <v>7989</v>
      </c>
      <c r="C8417" s="10" t="s">
        <v>7990</v>
      </c>
      <c r="D8417" s="10" t="s">
        <v>8041</v>
      </c>
      <c r="E8417" s="10" t="str">
        <f>"644020240513112914173956"</f>
        <v>644020240513112914173956</v>
      </c>
      <c r="F8417" s="9"/>
    </row>
    <row r="8418" s="2" customFormat="1" ht="30" customHeight="1" spans="1:6">
      <c r="A8418" s="9">
        <v>8415</v>
      </c>
      <c r="B8418" s="10" t="s">
        <v>7989</v>
      </c>
      <c r="C8418" s="10" t="s">
        <v>7990</v>
      </c>
      <c r="D8418" s="10" t="s">
        <v>8042</v>
      </c>
      <c r="E8418" s="10" t="str">
        <f>"644020240515144935181598"</f>
        <v>644020240515144935181598</v>
      </c>
      <c r="F8418" s="9"/>
    </row>
    <row r="8419" s="2" customFormat="1" ht="30" customHeight="1" spans="1:6">
      <c r="A8419" s="9">
        <v>8416</v>
      </c>
      <c r="B8419" s="10" t="s">
        <v>7989</v>
      </c>
      <c r="C8419" s="10" t="s">
        <v>7990</v>
      </c>
      <c r="D8419" s="10" t="s">
        <v>8043</v>
      </c>
      <c r="E8419" s="10" t="str">
        <f>"644020240513092305172741"</f>
        <v>644020240513092305172741</v>
      </c>
      <c r="F8419" s="9"/>
    </row>
    <row r="8420" s="2" customFormat="1" ht="30" customHeight="1" spans="1:6">
      <c r="A8420" s="9">
        <v>8417</v>
      </c>
      <c r="B8420" s="10" t="s">
        <v>7989</v>
      </c>
      <c r="C8420" s="10" t="s">
        <v>7990</v>
      </c>
      <c r="D8420" s="10" t="s">
        <v>8044</v>
      </c>
      <c r="E8420" s="10" t="str">
        <f>"644020240514173057179712"</f>
        <v>644020240514173057179712</v>
      </c>
      <c r="F8420" s="9"/>
    </row>
    <row r="8421" s="2" customFormat="1" ht="30" customHeight="1" spans="1:6">
      <c r="A8421" s="9">
        <v>8418</v>
      </c>
      <c r="B8421" s="10" t="s">
        <v>7989</v>
      </c>
      <c r="C8421" s="10" t="s">
        <v>7990</v>
      </c>
      <c r="D8421" s="10" t="s">
        <v>8045</v>
      </c>
      <c r="E8421" s="10" t="str">
        <f>"644020240515091124180797"</f>
        <v>644020240515091124180797</v>
      </c>
      <c r="F8421" s="9"/>
    </row>
    <row r="8422" s="2" customFormat="1" ht="30" customHeight="1" spans="1:6">
      <c r="A8422" s="9">
        <v>8419</v>
      </c>
      <c r="B8422" s="10" t="s">
        <v>7989</v>
      </c>
      <c r="C8422" s="10" t="s">
        <v>7990</v>
      </c>
      <c r="D8422" s="10" t="s">
        <v>8046</v>
      </c>
      <c r="E8422" s="10" t="str">
        <f>"644020240513231741177547"</f>
        <v>644020240513231741177547</v>
      </c>
      <c r="F8422" s="9"/>
    </row>
    <row r="8423" s="2" customFormat="1" ht="30" customHeight="1" spans="1:6">
      <c r="A8423" s="9">
        <v>8420</v>
      </c>
      <c r="B8423" s="10" t="s">
        <v>7989</v>
      </c>
      <c r="C8423" s="10" t="s">
        <v>7990</v>
      </c>
      <c r="D8423" s="10" t="s">
        <v>8047</v>
      </c>
      <c r="E8423" s="10" t="str">
        <f>"644020240513200932176760"</f>
        <v>644020240513200932176760</v>
      </c>
      <c r="F8423" s="9"/>
    </row>
    <row r="8424" s="2" customFormat="1" ht="30" customHeight="1" spans="1:6">
      <c r="A8424" s="9">
        <v>8421</v>
      </c>
      <c r="B8424" s="10" t="s">
        <v>7989</v>
      </c>
      <c r="C8424" s="10" t="s">
        <v>7990</v>
      </c>
      <c r="D8424" s="10" t="s">
        <v>8048</v>
      </c>
      <c r="E8424" s="10" t="str">
        <f>"644020240515113306181253"</f>
        <v>644020240515113306181253</v>
      </c>
      <c r="F8424" s="9"/>
    </row>
    <row r="8425" s="2" customFormat="1" ht="30" customHeight="1" spans="1:6">
      <c r="A8425" s="9">
        <v>8422</v>
      </c>
      <c r="B8425" s="10" t="s">
        <v>7989</v>
      </c>
      <c r="C8425" s="10" t="s">
        <v>7990</v>
      </c>
      <c r="D8425" s="10" t="s">
        <v>8049</v>
      </c>
      <c r="E8425" s="10" t="str">
        <f>"644020240515223942182454"</f>
        <v>644020240515223942182454</v>
      </c>
      <c r="F8425" s="9"/>
    </row>
    <row r="8426" s="2" customFormat="1" ht="30" customHeight="1" spans="1:6">
      <c r="A8426" s="9">
        <v>8423</v>
      </c>
      <c r="B8426" s="10" t="s">
        <v>7989</v>
      </c>
      <c r="C8426" s="10" t="s">
        <v>7990</v>
      </c>
      <c r="D8426" s="10" t="s">
        <v>8050</v>
      </c>
      <c r="E8426" s="10" t="str">
        <f>"644020240515224617182469"</f>
        <v>644020240515224617182469</v>
      </c>
      <c r="F8426" s="9"/>
    </row>
    <row r="8427" s="2" customFormat="1" ht="30" customHeight="1" spans="1:6">
      <c r="A8427" s="9">
        <v>8424</v>
      </c>
      <c r="B8427" s="10" t="s">
        <v>7989</v>
      </c>
      <c r="C8427" s="10" t="s">
        <v>7990</v>
      </c>
      <c r="D8427" s="10" t="s">
        <v>8051</v>
      </c>
      <c r="E8427" s="10" t="str">
        <f>"644020240515224132182458"</f>
        <v>644020240515224132182458</v>
      </c>
      <c r="F8427" s="9"/>
    </row>
    <row r="8428" s="2" customFormat="1" ht="30" customHeight="1" spans="1:6">
      <c r="A8428" s="9">
        <v>8425</v>
      </c>
      <c r="B8428" s="10" t="s">
        <v>7989</v>
      </c>
      <c r="C8428" s="10" t="s">
        <v>7990</v>
      </c>
      <c r="D8428" s="10" t="s">
        <v>8052</v>
      </c>
      <c r="E8428" s="10" t="str">
        <f>"644020240513215306177183"</f>
        <v>644020240513215306177183</v>
      </c>
      <c r="F8428" s="9"/>
    </row>
    <row r="8429" s="2" customFormat="1" ht="30" customHeight="1" spans="1:6">
      <c r="A8429" s="9">
        <v>8426</v>
      </c>
      <c r="B8429" s="10" t="s">
        <v>7989</v>
      </c>
      <c r="C8429" s="10" t="s">
        <v>7990</v>
      </c>
      <c r="D8429" s="10" t="s">
        <v>8053</v>
      </c>
      <c r="E8429" s="10" t="str">
        <f>"644020240515152054181671"</f>
        <v>644020240515152054181671</v>
      </c>
      <c r="F8429" s="9"/>
    </row>
    <row r="8430" s="2" customFormat="1" ht="30" customHeight="1" spans="1:6">
      <c r="A8430" s="9">
        <v>8427</v>
      </c>
      <c r="B8430" s="10" t="s">
        <v>7989</v>
      </c>
      <c r="C8430" s="10" t="s">
        <v>7990</v>
      </c>
      <c r="D8430" s="10" t="s">
        <v>8054</v>
      </c>
      <c r="E8430" s="10" t="str">
        <f>"644020240516092536182864"</f>
        <v>644020240516092536182864</v>
      </c>
      <c r="F8430" s="9"/>
    </row>
    <row r="8431" s="2" customFormat="1" ht="30" customHeight="1" spans="1:6">
      <c r="A8431" s="9">
        <v>8428</v>
      </c>
      <c r="B8431" s="10" t="s">
        <v>7989</v>
      </c>
      <c r="C8431" s="10" t="s">
        <v>7990</v>
      </c>
      <c r="D8431" s="10" t="s">
        <v>8055</v>
      </c>
      <c r="E8431" s="10" t="str">
        <f>"644020240516095601182938"</f>
        <v>644020240516095601182938</v>
      </c>
      <c r="F8431" s="9"/>
    </row>
    <row r="8432" s="2" customFormat="1" ht="30" customHeight="1" spans="1:6">
      <c r="A8432" s="9">
        <v>8429</v>
      </c>
      <c r="B8432" s="10" t="s">
        <v>7989</v>
      </c>
      <c r="C8432" s="10" t="s">
        <v>7990</v>
      </c>
      <c r="D8432" s="10" t="s">
        <v>8056</v>
      </c>
      <c r="E8432" s="10" t="str">
        <f>"644020240516101958183002"</f>
        <v>644020240516101958183002</v>
      </c>
      <c r="F8432" s="9"/>
    </row>
    <row r="8433" s="2" customFormat="1" ht="30" customHeight="1" spans="1:6">
      <c r="A8433" s="9">
        <v>8430</v>
      </c>
      <c r="B8433" s="10" t="s">
        <v>7989</v>
      </c>
      <c r="C8433" s="10" t="s">
        <v>7990</v>
      </c>
      <c r="D8433" s="10" t="s">
        <v>8057</v>
      </c>
      <c r="E8433" s="10" t="str">
        <f>"644020240516115246183215"</f>
        <v>644020240516115246183215</v>
      </c>
      <c r="F8433" s="9"/>
    </row>
    <row r="8434" s="2" customFormat="1" ht="30" customHeight="1" spans="1:6">
      <c r="A8434" s="9">
        <v>8431</v>
      </c>
      <c r="B8434" s="10" t="s">
        <v>7989</v>
      </c>
      <c r="C8434" s="10" t="s">
        <v>7990</v>
      </c>
      <c r="D8434" s="10" t="s">
        <v>8058</v>
      </c>
      <c r="E8434" s="10" t="str">
        <f>"644020240516115112183211"</f>
        <v>644020240516115112183211</v>
      </c>
      <c r="F8434" s="9"/>
    </row>
    <row r="8435" s="2" customFormat="1" ht="30" customHeight="1" spans="1:6">
      <c r="A8435" s="9">
        <v>8432</v>
      </c>
      <c r="B8435" s="10" t="s">
        <v>7989</v>
      </c>
      <c r="C8435" s="10" t="s">
        <v>7990</v>
      </c>
      <c r="D8435" s="10" t="s">
        <v>8059</v>
      </c>
      <c r="E8435" s="10" t="str">
        <f>"644020240514135638179066"</f>
        <v>644020240514135638179066</v>
      </c>
      <c r="F8435" s="9"/>
    </row>
    <row r="8436" s="2" customFormat="1" ht="30" customHeight="1" spans="1:6">
      <c r="A8436" s="9">
        <v>8433</v>
      </c>
      <c r="B8436" s="10" t="s">
        <v>7989</v>
      </c>
      <c r="C8436" s="10" t="s">
        <v>7990</v>
      </c>
      <c r="D8436" s="10" t="s">
        <v>45</v>
      </c>
      <c r="E8436" s="10" t="str">
        <f>"644020240516103116183032"</f>
        <v>644020240516103116183032</v>
      </c>
      <c r="F8436" s="9"/>
    </row>
    <row r="8437" s="2" customFormat="1" ht="30" customHeight="1" spans="1:6">
      <c r="A8437" s="9">
        <v>8434</v>
      </c>
      <c r="B8437" s="10" t="s">
        <v>7989</v>
      </c>
      <c r="C8437" s="10" t="s">
        <v>7990</v>
      </c>
      <c r="D8437" s="10" t="s">
        <v>8060</v>
      </c>
      <c r="E8437" s="10" t="str">
        <f>"644020240516145346183468"</f>
        <v>644020240516145346183468</v>
      </c>
      <c r="F8437" s="9"/>
    </row>
    <row r="8438" s="2" customFormat="1" ht="30" customHeight="1" spans="1:6">
      <c r="A8438" s="9">
        <v>8435</v>
      </c>
      <c r="B8438" s="10" t="s">
        <v>7989</v>
      </c>
      <c r="C8438" s="10" t="s">
        <v>7990</v>
      </c>
      <c r="D8438" s="10" t="s">
        <v>8061</v>
      </c>
      <c r="E8438" s="10" t="str">
        <f>"644020240515100801180969"</f>
        <v>644020240515100801180969</v>
      </c>
      <c r="F8438" s="9"/>
    </row>
    <row r="8439" s="2" customFormat="1" ht="30" customHeight="1" spans="1:6">
      <c r="A8439" s="9">
        <v>8436</v>
      </c>
      <c r="B8439" s="10" t="s">
        <v>7989</v>
      </c>
      <c r="C8439" s="10" t="s">
        <v>7990</v>
      </c>
      <c r="D8439" s="10" t="s">
        <v>93</v>
      </c>
      <c r="E8439" s="10" t="str">
        <f>"644020240513161317175862"</f>
        <v>644020240513161317175862</v>
      </c>
      <c r="F8439" s="9"/>
    </row>
    <row r="8440" s="2" customFormat="1" ht="30" customHeight="1" spans="1:6">
      <c r="A8440" s="9">
        <v>8437</v>
      </c>
      <c r="B8440" s="10" t="s">
        <v>7989</v>
      </c>
      <c r="C8440" s="10" t="s">
        <v>7990</v>
      </c>
      <c r="D8440" s="10" t="s">
        <v>8062</v>
      </c>
      <c r="E8440" s="10" t="str">
        <f>"644020240516172400183821"</f>
        <v>644020240516172400183821</v>
      </c>
      <c r="F8440" s="9"/>
    </row>
    <row r="8441" s="2" customFormat="1" ht="30" customHeight="1" spans="1:6">
      <c r="A8441" s="9">
        <v>8438</v>
      </c>
      <c r="B8441" s="10" t="s">
        <v>7989</v>
      </c>
      <c r="C8441" s="10" t="s">
        <v>7990</v>
      </c>
      <c r="D8441" s="10" t="s">
        <v>8063</v>
      </c>
      <c r="E8441" s="10" t="str">
        <f>"644020240516182832183931"</f>
        <v>644020240516182832183931</v>
      </c>
      <c r="F8441" s="9"/>
    </row>
    <row r="8442" s="2" customFormat="1" ht="30" customHeight="1" spans="1:6">
      <c r="A8442" s="9">
        <v>8439</v>
      </c>
      <c r="B8442" s="10" t="s">
        <v>7989</v>
      </c>
      <c r="C8442" s="10" t="s">
        <v>7990</v>
      </c>
      <c r="D8442" s="10" t="s">
        <v>8064</v>
      </c>
      <c r="E8442" s="10" t="str">
        <f>"644020240513205252176931"</f>
        <v>644020240513205252176931</v>
      </c>
      <c r="F8442" s="9"/>
    </row>
    <row r="8443" s="2" customFormat="1" ht="30" customHeight="1" spans="1:6">
      <c r="A8443" s="9">
        <v>8440</v>
      </c>
      <c r="B8443" s="10" t="s">
        <v>7989</v>
      </c>
      <c r="C8443" s="10" t="s">
        <v>7990</v>
      </c>
      <c r="D8443" s="10" t="s">
        <v>8065</v>
      </c>
      <c r="E8443" s="10" t="str">
        <f>"644020240514212930180206"</f>
        <v>644020240514212930180206</v>
      </c>
      <c r="F8443" s="9"/>
    </row>
    <row r="8444" s="2" customFormat="1" ht="30" customHeight="1" spans="1:6">
      <c r="A8444" s="9">
        <v>8441</v>
      </c>
      <c r="B8444" s="10" t="s">
        <v>7989</v>
      </c>
      <c r="C8444" s="10" t="s">
        <v>7990</v>
      </c>
      <c r="D8444" s="10" t="s">
        <v>8066</v>
      </c>
      <c r="E8444" s="10" t="str">
        <f>"644020240516221949184268"</f>
        <v>644020240516221949184268</v>
      </c>
      <c r="F8444" s="9"/>
    </row>
    <row r="8445" s="2" customFormat="1" ht="30" customHeight="1" spans="1:6">
      <c r="A8445" s="9">
        <v>8442</v>
      </c>
      <c r="B8445" s="10" t="s">
        <v>7989</v>
      </c>
      <c r="C8445" s="10" t="s">
        <v>7990</v>
      </c>
      <c r="D8445" s="10" t="s">
        <v>8067</v>
      </c>
      <c r="E8445" s="10" t="str">
        <f>"644020240516223607184307"</f>
        <v>644020240516223607184307</v>
      </c>
      <c r="F8445" s="9"/>
    </row>
    <row r="8446" s="2" customFormat="1" ht="30" customHeight="1" spans="1:6">
      <c r="A8446" s="9">
        <v>8443</v>
      </c>
      <c r="B8446" s="10" t="s">
        <v>7989</v>
      </c>
      <c r="C8446" s="10" t="s">
        <v>7990</v>
      </c>
      <c r="D8446" s="10" t="s">
        <v>8068</v>
      </c>
      <c r="E8446" s="10" t="str">
        <f>"644020240515163819181885"</f>
        <v>644020240515163819181885</v>
      </c>
      <c r="F8446" s="9"/>
    </row>
    <row r="8447" s="2" customFormat="1" ht="30" customHeight="1" spans="1:6">
      <c r="A8447" s="9">
        <v>8444</v>
      </c>
      <c r="B8447" s="10" t="s">
        <v>7989</v>
      </c>
      <c r="C8447" s="10" t="s">
        <v>7990</v>
      </c>
      <c r="D8447" s="10" t="s">
        <v>8069</v>
      </c>
      <c r="E8447" s="10" t="str">
        <f>"644020240517082541184629"</f>
        <v>644020240517082541184629</v>
      </c>
      <c r="F8447" s="9"/>
    </row>
    <row r="8448" s="2" customFormat="1" ht="30" customHeight="1" spans="1:6">
      <c r="A8448" s="9">
        <v>8445</v>
      </c>
      <c r="B8448" s="10" t="s">
        <v>7989</v>
      </c>
      <c r="C8448" s="10" t="s">
        <v>7990</v>
      </c>
      <c r="D8448" s="10" t="s">
        <v>8070</v>
      </c>
      <c r="E8448" s="10" t="str">
        <f>"644020240517110832184968"</f>
        <v>644020240517110832184968</v>
      </c>
      <c r="F8448" s="9"/>
    </row>
    <row r="8449" s="2" customFormat="1" ht="30" customHeight="1" spans="1:6">
      <c r="A8449" s="9">
        <v>8446</v>
      </c>
      <c r="B8449" s="10" t="s">
        <v>7989</v>
      </c>
      <c r="C8449" s="10" t="s">
        <v>7990</v>
      </c>
      <c r="D8449" s="10" t="s">
        <v>8071</v>
      </c>
      <c r="E8449" s="10" t="str">
        <f>"644020240513144645175085"</f>
        <v>644020240513144645175085</v>
      </c>
      <c r="F8449" s="9"/>
    </row>
    <row r="8450" s="2" customFormat="1" ht="30" customHeight="1" spans="1:6">
      <c r="A8450" s="9">
        <v>8447</v>
      </c>
      <c r="B8450" s="10" t="s">
        <v>7989</v>
      </c>
      <c r="C8450" s="10" t="s">
        <v>7990</v>
      </c>
      <c r="D8450" s="10" t="s">
        <v>8072</v>
      </c>
      <c r="E8450" s="10" t="str">
        <f>"644020240517124153185157"</f>
        <v>644020240517124153185157</v>
      </c>
      <c r="F8450" s="9"/>
    </row>
    <row r="8451" s="2" customFormat="1" ht="30" customHeight="1" spans="1:6">
      <c r="A8451" s="9">
        <v>8448</v>
      </c>
      <c r="B8451" s="10" t="s">
        <v>7989</v>
      </c>
      <c r="C8451" s="10" t="s">
        <v>7990</v>
      </c>
      <c r="D8451" s="10" t="s">
        <v>8073</v>
      </c>
      <c r="E8451" s="10" t="str">
        <f>"644020240516095245182931"</f>
        <v>644020240516095245182931</v>
      </c>
      <c r="F8451" s="9"/>
    </row>
    <row r="8452" s="2" customFormat="1" ht="30" customHeight="1" spans="1:6">
      <c r="A8452" s="9">
        <v>8449</v>
      </c>
      <c r="B8452" s="10" t="s">
        <v>7989</v>
      </c>
      <c r="C8452" s="10" t="s">
        <v>7990</v>
      </c>
      <c r="D8452" s="10" t="s">
        <v>8074</v>
      </c>
      <c r="E8452" s="10" t="str">
        <f>"644020240517142907185362"</f>
        <v>644020240517142907185362</v>
      </c>
      <c r="F8452" s="9"/>
    </row>
    <row r="8453" s="2" customFormat="1" ht="30" customHeight="1" spans="1:6">
      <c r="A8453" s="9">
        <v>8450</v>
      </c>
      <c r="B8453" s="10" t="s">
        <v>7989</v>
      </c>
      <c r="C8453" s="10" t="s">
        <v>7990</v>
      </c>
      <c r="D8453" s="10" t="s">
        <v>8075</v>
      </c>
      <c r="E8453" s="10" t="str">
        <f>"644020240517165030185683"</f>
        <v>644020240517165030185683</v>
      </c>
      <c r="F8453" s="9"/>
    </row>
    <row r="8454" s="2" customFormat="1" ht="30" customHeight="1" spans="1:6">
      <c r="A8454" s="9">
        <v>8451</v>
      </c>
      <c r="B8454" s="10" t="s">
        <v>7989</v>
      </c>
      <c r="C8454" s="10" t="s">
        <v>7990</v>
      </c>
      <c r="D8454" s="10" t="s">
        <v>8076</v>
      </c>
      <c r="E8454" s="10" t="str">
        <f>"644020240517151956185476"</f>
        <v>644020240517151956185476</v>
      </c>
      <c r="F8454" s="9"/>
    </row>
    <row r="8455" s="2" customFormat="1" ht="30" customHeight="1" spans="1:6">
      <c r="A8455" s="9">
        <v>8452</v>
      </c>
      <c r="B8455" s="10" t="s">
        <v>7989</v>
      </c>
      <c r="C8455" s="10" t="s">
        <v>7990</v>
      </c>
      <c r="D8455" s="10" t="s">
        <v>8077</v>
      </c>
      <c r="E8455" s="10" t="str">
        <f>"644020240516112330183163"</f>
        <v>644020240516112330183163</v>
      </c>
      <c r="F8455" s="9"/>
    </row>
    <row r="8456" s="2" customFormat="1" ht="30" customHeight="1" spans="1:6">
      <c r="A8456" s="9">
        <v>8453</v>
      </c>
      <c r="B8456" s="10" t="s">
        <v>7989</v>
      </c>
      <c r="C8456" s="10" t="s">
        <v>7990</v>
      </c>
      <c r="D8456" s="10" t="s">
        <v>8078</v>
      </c>
      <c r="E8456" s="10" t="str">
        <f>"644020240514223632180396"</f>
        <v>644020240514223632180396</v>
      </c>
      <c r="F8456" s="9"/>
    </row>
    <row r="8457" s="2" customFormat="1" ht="30" customHeight="1" spans="1:6">
      <c r="A8457" s="9">
        <v>8454</v>
      </c>
      <c r="B8457" s="10" t="s">
        <v>7989</v>
      </c>
      <c r="C8457" s="10" t="s">
        <v>7990</v>
      </c>
      <c r="D8457" s="10" t="s">
        <v>8079</v>
      </c>
      <c r="E8457" s="10" t="str">
        <f>"644020240517195257185918"</f>
        <v>644020240517195257185918</v>
      </c>
      <c r="F8457" s="9"/>
    </row>
    <row r="8458" s="2" customFormat="1" ht="30" customHeight="1" spans="1:6">
      <c r="A8458" s="9">
        <v>8455</v>
      </c>
      <c r="B8458" s="10" t="s">
        <v>7989</v>
      </c>
      <c r="C8458" s="10" t="s">
        <v>7990</v>
      </c>
      <c r="D8458" s="10" t="s">
        <v>8080</v>
      </c>
      <c r="E8458" s="10" t="str">
        <f>"644020240517212538185981"</f>
        <v>644020240517212538185981</v>
      </c>
      <c r="F8458" s="9"/>
    </row>
    <row r="8459" s="2" customFormat="1" ht="30" customHeight="1" spans="1:6">
      <c r="A8459" s="9">
        <v>8456</v>
      </c>
      <c r="B8459" s="10" t="s">
        <v>7989</v>
      </c>
      <c r="C8459" s="10" t="s">
        <v>7990</v>
      </c>
      <c r="D8459" s="10" t="s">
        <v>8081</v>
      </c>
      <c r="E8459" s="10" t="str">
        <f>"644020240514090134177966"</f>
        <v>644020240514090134177966</v>
      </c>
      <c r="F8459" s="9"/>
    </row>
    <row r="8460" s="2" customFormat="1" ht="30" customHeight="1" spans="1:6">
      <c r="A8460" s="9">
        <v>8457</v>
      </c>
      <c r="B8460" s="10" t="s">
        <v>7989</v>
      </c>
      <c r="C8460" s="10" t="s">
        <v>7990</v>
      </c>
      <c r="D8460" s="10" t="s">
        <v>8082</v>
      </c>
      <c r="E8460" s="10" t="str">
        <f>"644020240513160203175790"</f>
        <v>644020240513160203175790</v>
      </c>
      <c r="F8460" s="9"/>
    </row>
    <row r="8461" s="2" customFormat="1" ht="30" customHeight="1" spans="1:6">
      <c r="A8461" s="9">
        <v>8458</v>
      </c>
      <c r="B8461" s="10" t="s">
        <v>7989</v>
      </c>
      <c r="C8461" s="10" t="s">
        <v>7990</v>
      </c>
      <c r="D8461" s="10" t="s">
        <v>8083</v>
      </c>
      <c r="E8461" s="10" t="str">
        <f>"644020240517150058185426"</f>
        <v>644020240517150058185426</v>
      </c>
      <c r="F8461" s="9"/>
    </row>
    <row r="8462" s="2" customFormat="1" ht="30" customHeight="1" spans="1:6">
      <c r="A8462" s="9">
        <v>8459</v>
      </c>
      <c r="B8462" s="10" t="s">
        <v>7989</v>
      </c>
      <c r="C8462" s="10" t="s">
        <v>7990</v>
      </c>
      <c r="D8462" s="10" t="s">
        <v>4679</v>
      </c>
      <c r="E8462" s="10" t="str">
        <f>"644020240518094224186529"</f>
        <v>644020240518094224186529</v>
      </c>
      <c r="F8462" s="9"/>
    </row>
    <row r="8463" s="2" customFormat="1" ht="30" customHeight="1" spans="1:6">
      <c r="A8463" s="9">
        <v>8460</v>
      </c>
      <c r="B8463" s="10" t="s">
        <v>7989</v>
      </c>
      <c r="C8463" s="10" t="s">
        <v>7990</v>
      </c>
      <c r="D8463" s="10" t="s">
        <v>8084</v>
      </c>
      <c r="E8463" s="10" t="str">
        <f>"644020240518094055186524"</f>
        <v>644020240518094055186524</v>
      </c>
      <c r="F8463" s="9"/>
    </row>
    <row r="8464" s="2" customFormat="1" ht="30" customHeight="1" spans="1:6">
      <c r="A8464" s="9">
        <v>8461</v>
      </c>
      <c r="B8464" s="10" t="s">
        <v>7989</v>
      </c>
      <c r="C8464" s="10" t="s">
        <v>7990</v>
      </c>
      <c r="D8464" s="10" t="s">
        <v>8085</v>
      </c>
      <c r="E8464" s="10" t="str">
        <f>"644020240513000210171931"</f>
        <v>644020240513000210171931</v>
      </c>
      <c r="F8464" s="9"/>
    </row>
    <row r="8465" s="2" customFormat="1" ht="30" customHeight="1" spans="1:6">
      <c r="A8465" s="9">
        <v>8462</v>
      </c>
      <c r="B8465" s="10" t="s">
        <v>8086</v>
      </c>
      <c r="C8465" s="10" t="s">
        <v>8087</v>
      </c>
      <c r="D8465" s="10" t="s">
        <v>8088</v>
      </c>
      <c r="E8465" s="10" t="str">
        <f>"644020240512101513168476"</f>
        <v>644020240512101513168476</v>
      </c>
      <c r="F8465" s="9"/>
    </row>
    <row r="8466" s="2" customFormat="1" ht="30" customHeight="1" spans="1:6">
      <c r="A8466" s="9">
        <v>8463</v>
      </c>
      <c r="B8466" s="10" t="s">
        <v>8086</v>
      </c>
      <c r="C8466" s="10" t="s">
        <v>8087</v>
      </c>
      <c r="D8466" s="10" t="s">
        <v>8089</v>
      </c>
      <c r="E8466" s="10" t="str">
        <f>"644020240512113235168896"</f>
        <v>644020240512113235168896</v>
      </c>
      <c r="F8466" s="9"/>
    </row>
    <row r="8467" s="2" customFormat="1" ht="30" customHeight="1" spans="1:6">
      <c r="A8467" s="9">
        <v>8464</v>
      </c>
      <c r="B8467" s="10" t="s">
        <v>8086</v>
      </c>
      <c r="C8467" s="10" t="s">
        <v>8087</v>
      </c>
      <c r="D8467" s="10" t="s">
        <v>8090</v>
      </c>
      <c r="E8467" s="10" t="str">
        <f>"644020240512130950169277"</f>
        <v>644020240512130950169277</v>
      </c>
      <c r="F8467" s="9"/>
    </row>
    <row r="8468" s="2" customFormat="1" ht="30" customHeight="1" spans="1:6">
      <c r="A8468" s="9">
        <v>8465</v>
      </c>
      <c r="B8468" s="10" t="s">
        <v>8086</v>
      </c>
      <c r="C8468" s="10" t="s">
        <v>8087</v>
      </c>
      <c r="D8468" s="10" t="s">
        <v>8091</v>
      </c>
      <c r="E8468" s="10" t="str">
        <f>"644020240512134624169419"</f>
        <v>644020240512134624169419</v>
      </c>
      <c r="F8468" s="9"/>
    </row>
    <row r="8469" s="2" customFormat="1" ht="30" customHeight="1" spans="1:6">
      <c r="A8469" s="9">
        <v>8466</v>
      </c>
      <c r="B8469" s="10" t="s">
        <v>8086</v>
      </c>
      <c r="C8469" s="10" t="s">
        <v>8087</v>
      </c>
      <c r="D8469" s="10" t="s">
        <v>8092</v>
      </c>
      <c r="E8469" s="10" t="str">
        <f>"644020240512145140169621"</f>
        <v>644020240512145140169621</v>
      </c>
      <c r="F8469" s="9"/>
    </row>
    <row r="8470" s="2" customFormat="1" ht="30" customHeight="1" spans="1:6">
      <c r="A8470" s="9">
        <v>8467</v>
      </c>
      <c r="B8470" s="10" t="s">
        <v>8086</v>
      </c>
      <c r="C8470" s="10" t="s">
        <v>8087</v>
      </c>
      <c r="D8470" s="10" t="s">
        <v>8093</v>
      </c>
      <c r="E8470" s="10" t="str">
        <f>"644020240512150236169656"</f>
        <v>644020240512150236169656</v>
      </c>
      <c r="F8470" s="9"/>
    </row>
    <row r="8471" s="2" customFormat="1" ht="30" customHeight="1" spans="1:6">
      <c r="A8471" s="9">
        <v>8468</v>
      </c>
      <c r="B8471" s="10" t="s">
        <v>8086</v>
      </c>
      <c r="C8471" s="10" t="s">
        <v>8087</v>
      </c>
      <c r="D8471" s="10" t="s">
        <v>8094</v>
      </c>
      <c r="E8471" s="10" t="str">
        <f>"644020240512160301169890"</f>
        <v>644020240512160301169890</v>
      </c>
      <c r="F8471" s="9"/>
    </row>
    <row r="8472" s="2" customFormat="1" ht="30" customHeight="1" spans="1:6">
      <c r="A8472" s="9">
        <v>8469</v>
      </c>
      <c r="B8472" s="10" t="s">
        <v>8086</v>
      </c>
      <c r="C8472" s="10" t="s">
        <v>8087</v>
      </c>
      <c r="D8472" s="10" t="s">
        <v>8095</v>
      </c>
      <c r="E8472" s="10" t="str">
        <f>"644020240512163059170003"</f>
        <v>644020240512163059170003</v>
      </c>
      <c r="F8472" s="9"/>
    </row>
    <row r="8473" s="2" customFormat="1" ht="30" customHeight="1" spans="1:6">
      <c r="A8473" s="9">
        <v>8470</v>
      </c>
      <c r="B8473" s="10" t="s">
        <v>8086</v>
      </c>
      <c r="C8473" s="10" t="s">
        <v>8087</v>
      </c>
      <c r="D8473" s="10" t="s">
        <v>8096</v>
      </c>
      <c r="E8473" s="10" t="str">
        <f>"644020240512154420169816"</f>
        <v>644020240512154420169816</v>
      </c>
      <c r="F8473" s="9"/>
    </row>
    <row r="8474" s="2" customFormat="1" ht="30" customHeight="1" spans="1:6">
      <c r="A8474" s="9">
        <v>8471</v>
      </c>
      <c r="B8474" s="10" t="s">
        <v>8086</v>
      </c>
      <c r="C8474" s="10" t="s">
        <v>8087</v>
      </c>
      <c r="D8474" s="10" t="s">
        <v>8097</v>
      </c>
      <c r="E8474" s="10" t="str">
        <f>"644020240512172911170211"</f>
        <v>644020240512172911170211</v>
      </c>
      <c r="F8474" s="9"/>
    </row>
    <row r="8475" s="2" customFormat="1" ht="30" customHeight="1" spans="1:6">
      <c r="A8475" s="9">
        <v>8472</v>
      </c>
      <c r="B8475" s="10" t="s">
        <v>8086</v>
      </c>
      <c r="C8475" s="10" t="s">
        <v>8087</v>
      </c>
      <c r="D8475" s="10" t="s">
        <v>8098</v>
      </c>
      <c r="E8475" s="10" t="str">
        <f>"644020240512171422170158"</f>
        <v>644020240512171422170158</v>
      </c>
      <c r="F8475" s="9"/>
    </row>
    <row r="8476" s="2" customFormat="1" ht="30" customHeight="1" spans="1:6">
      <c r="A8476" s="9">
        <v>8473</v>
      </c>
      <c r="B8476" s="10" t="s">
        <v>8086</v>
      </c>
      <c r="C8476" s="10" t="s">
        <v>8087</v>
      </c>
      <c r="D8476" s="10" t="s">
        <v>8099</v>
      </c>
      <c r="E8476" s="10" t="str">
        <f>"644020240512182612170385"</f>
        <v>644020240512182612170385</v>
      </c>
      <c r="F8476" s="9"/>
    </row>
    <row r="8477" s="2" customFormat="1" ht="30" customHeight="1" spans="1:6">
      <c r="A8477" s="9">
        <v>8474</v>
      </c>
      <c r="B8477" s="10" t="s">
        <v>8086</v>
      </c>
      <c r="C8477" s="10" t="s">
        <v>8087</v>
      </c>
      <c r="D8477" s="10" t="s">
        <v>8100</v>
      </c>
      <c r="E8477" s="10" t="str">
        <f>"644020240512091027168144"</f>
        <v>644020240512091027168144</v>
      </c>
      <c r="F8477" s="9"/>
    </row>
    <row r="8478" s="2" customFormat="1" ht="30" customHeight="1" spans="1:6">
      <c r="A8478" s="9">
        <v>8475</v>
      </c>
      <c r="B8478" s="10" t="s">
        <v>8086</v>
      </c>
      <c r="C8478" s="10" t="s">
        <v>8087</v>
      </c>
      <c r="D8478" s="10" t="s">
        <v>8101</v>
      </c>
      <c r="E8478" s="10" t="str">
        <f>"644020240512190915170536"</f>
        <v>644020240512190915170536</v>
      </c>
      <c r="F8478" s="9"/>
    </row>
    <row r="8479" s="2" customFormat="1" ht="30" customHeight="1" spans="1:6">
      <c r="A8479" s="9">
        <v>8476</v>
      </c>
      <c r="B8479" s="10" t="s">
        <v>8086</v>
      </c>
      <c r="C8479" s="10" t="s">
        <v>8087</v>
      </c>
      <c r="D8479" s="10" t="s">
        <v>8102</v>
      </c>
      <c r="E8479" s="10" t="str">
        <f>"644020240512175436170292"</f>
        <v>644020240512175436170292</v>
      </c>
      <c r="F8479" s="9"/>
    </row>
    <row r="8480" s="2" customFormat="1" ht="30" customHeight="1" spans="1:6">
      <c r="A8480" s="9">
        <v>8477</v>
      </c>
      <c r="B8480" s="10" t="s">
        <v>8086</v>
      </c>
      <c r="C8480" s="10" t="s">
        <v>8087</v>
      </c>
      <c r="D8480" s="10" t="s">
        <v>8103</v>
      </c>
      <c r="E8480" s="10" t="str">
        <f>"644020240512202346170812"</f>
        <v>644020240512202346170812</v>
      </c>
      <c r="F8480" s="9"/>
    </row>
    <row r="8481" s="2" customFormat="1" ht="30" customHeight="1" spans="1:6">
      <c r="A8481" s="9">
        <v>8478</v>
      </c>
      <c r="B8481" s="10" t="s">
        <v>8086</v>
      </c>
      <c r="C8481" s="10" t="s">
        <v>8087</v>
      </c>
      <c r="D8481" s="10" t="s">
        <v>8104</v>
      </c>
      <c r="E8481" s="10" t="str">
        <f>"644020240512203559170867"</f>
        <v>644020240512203559170867</v>
      </c>
      <c r="F8481" s="9"/>
    </row>
    <row r="8482" s="2" customFormat="1" ht="30" customHeight="1" spans="1:6">
      <c r="A8482" s="9">
        <v>8479</v>
      </c>
      <c r="B8482" s="10" t="s">
        <v>8086</v>
      </c>
      <c r="C8482" s="10" t="s">
        <v>8087</v>
      </c>
      <c r="D8482" s="10" t="s">
        <v>8105</v>
      </c>
      <c r="E8482" s="10" t="str">
        <f>"644020240512203057170840"</f>
        <v>644020240512203057170840</v>
      </c>
      <c r="F8482" s="9"/>
    </row>
    <row r="8483" s="2" customFormat="1" ht="30" customHeight="1" spans="1:6">
      <c r="A8483" s="9">
        <v>8480</v>
      </c>
      <c r="B8483" s="10" t="s">
        <v>8086</v>
      </c>
      <c r="C8483" s="10" t="s">
        <v>8087</v>
      </c>
      <c r="D8483" s="10" t="s">
        <v>8106</v>
      </c>
      <c r="E8483" s="10" t="str">
        <f>"644020240512214308171221"</f>
        <v>644020240512214308171221</v>
      </c>
      <c r="F8483" s="9"/>
    </row>
    <row r="8484" s="2" customFormat="1" ht="30" customHeight="1" spans="1:6">
      <c r="A8484" s="9">
        <v>8481</v>
      </c>
      <c r="B8484" s="10" t="s">
        <v>8086</v>
      </c>
      <c r="C8484" s="10" t="s">
        <v>8087</v>
      </c>
      <c r="D8484" s="10" t="s">
        <v>8107</v>
      </c>
      <c r="E8484" s="10" t="str">
        <f>"644020240512114758168969"</f>
        <v>644020240512114758168969</v>
      </c>
      <c r="F8484" s="9"/>
    </row>
    <row r="8485" s="2" customFormat="1" ht="30" customHeight="1" spans="1:6">
      <c r="A8485" s="9">
        <v>8482</v>
      </c>
      <c r="B8485" s="10" t="s">
        <v>8086</v>
      </c>
      <c r="C8485" s="10" t="s">
        <v>8087</v>
      </c>
      <c r="D8485" s="10" t="s">
        <v>8108</v>
      </c>
      <c r="E8485" s="10" t="str">
        <f>"644020240512114550168963"</f>
        <v>644020240512114550168963</v>
      </c>
      <c r="F8485" s="9"/>
    </row>
    <row r="8486" s="2" customFormat="1" ht="30" customHeight="1" spans="1:6">
      <c r="A8486" s="9">
        <v>8483</v>
      </c>
      <c r="B8486" s="10" t="s">
        <v>8086</v>
      </c>
      <c r="C8486" s="10" t="s">
        <v>8087</v>
      </c>
      <c r="D8486" s="10" t="s">
        <v>8109</v>
      </c>
      <c r="E8486" s="10" t="str">
        <f>"644020240512220308171344"</f>
        <v>644020240512220308171344</v>
      </c>
      <c r="F8486" s="9"/>
    </row>
    <row r="8487" s="2" customFormat="1" ht="30" customHeight="1" spans="1:6">
      <c r="A8487" s="9">
        <v>8484</v>
      </c>
      <c r="B8487" s="10" t="s">
        <v>8086</v>
      </c>
      <c r="C8487" s="10" t="s">
        <v>8087</v>
      </c>
      <c r="D8487" s="10" t="s">
        <v>8110</v>
      </c>
      <c r="E8487" s="10" t="str">
        <f>"644020240512222426171463"</f>
        <v>644020240512222426171463</v>
      </c>
      <c r="F8487" s="9"/>
    </row>
    <row r="8488" s="2" customFormat="1" ht="30" customHeight="1" spans="1:6">
      <c r="A8488" s="9">
        <v>8485</v>
      </c>
      <c r="B8488" s="10" t="s">
        <v>8086</v>
      </c>
      <c r="C8488" s="10" t="s">
        <v>8087</v>
      </c>
      <c r="D8488" s="10" t="s">
        <v>8111</v>
      </c>
      <c r="E8488" s="10" t="str">
        <f>"644020240512222327171458"</f>
        <v>644020240512222327171458</v>
      </c>
      <c r="F8488" s="9"/>
    </row>
    <row r="8489" s="2" customFormat="1" ht="30" customHeight="1" spans="1:6">
      <c r="A8489" s="9">
        <v>8486</v>
      </c>
      <c r="B8489" s="10" t="s">
        <v>8086</v>
      </c>
      <c r="C8489" s="10" t="s">
        <v>8087</v>
      </c>
      <c r="D8489" s="10" t="s">
        <v>8112</v>
      </c>
      <c r="E8489" s="10" t="str">
        <f>"644020240512224939171609"</f>
        <v>644020240512224939171609</v>
      </c>
      <c r="F8489" s="9"/>
    </row>
    <row r="8490" s="2" customFormat="1" ht="30" customHeight="1" spans="1:6">
      <c r="A8490" s="9">
        <v>8487</v>
      </c>
      <c r="B8490" s="10" t="s">
        <v>8086</v>
      </c>
      <c r="C8490" s="10" t="s">
        <v>8087</v>
      </c>
      <c r="D8490" s="10" t="s">
        <v>8113</v>
      </c>
      <c r="E8490" s="10" t="str">
        <f>"644020240512100802168432"</f>
        <v>644020240512100802168432</v>
      </c>
      <c r="F8490" s="9"/>
    </row>
    <row r="8491" s="2" customFormat="1" ht="30" customHeight="1" spans="1:6">
      <c r="A8491" s="9">
        <v>8488</v>
      </c>
      <c r="B8491" s="10" t="s">
        <v>8086</v>
      </c>
      <c r="C8491" s="10" t="s">
        <v>8087</v>
      </c>
      <c r="D8491" s="10" t="s">
        <v>8114</v>
      </c>
      <c r="E8491" s="10" t="str">
        <f>"644020240513073031172146"</f>
        <v>644020240513073031172146</v>
      </c>
      <c r="F8491" s="9"/>
    </row>
    <row r="8492" s="2" customFormat="1" ht="30" customHeight="1" spans="1:6">
      <c r="A8492" s="9">
        <v>8489</v>
      </c>
      <c r="B8492" s="10" t="s">
        <v>8086</v>
      </c>
      <c r="C8492" s="10" t="s">
        <v>8087</v>
      </c>
      <c r="D8492" s="10" t="s">
        <v>8115</v>
      </c>
      <c r="E8492" s="10" t="str">
        <f>"644020240513092745172784"</f>
        <v>644020240513092745172784</v>
      </c>
      <c r="F8492" s="9"/>
    </row>
    <row r="8493" s="2" customFormat="1" ht="30" customHeight="1" spans="1:6">
      <c r="A8493" s="9">
        <v>8490</v>
      </c>
      <c r="B8493" s="10" t="s">
        <v>8086</v>
      </c>
      <c r="C8493" s="10" t="s">
        <v>8087</v>
      </c>
      <c r="D8493" s="10" t="s">
        <v>8116</v>
      </c>
      <c r="E8493" s="10" t="str">
        <f>"644020240513101013173210"</f>
        <v>644020240513101013173210</v>
      </c>
      <c r="F8493" s="9"/>
    </row>
    <row r="8494" s="2" customFormat="1" ht="30" customHeight="1" spans="1:6">
      <c r="A8494" s="9">
        <v>8491</v>
      </c>
      <c r="B8494" s="10" t="s">
        <v>8086</v>
      </c>
      <c r="C8494" s="10" t="s">
        <v>8087</v>
      </c>
      <c r="D8494" s="10" t="s">
        <v>8117</v>
      </c>
      <c r="E8494" s="10" t="str">
        <f>"644020240513095122173035"</f>
        <v>644020240513095122173035</v>
      </c>
      <c r="F8494" s="9"/>
    </row>
    <row r="8495" s="2" customFormat="1" ht="30" customHeight="1" spans="1:6">
      <c r="A8495" s="9">
        <v>8492</v>
      </c>
      <c r="B8495" s="10" t="s">
        <v>8086</v>
      </c>
      <c r="C8495" s="10" t="s">
        <v>8087</v>
      </c>
      <c r="D8495" s="10" t="s">
        <v>8118</v>
      </c>
      <c r="E8495" s="10" t="str">
        <f>"644020240513110252173719"</f>
        <v>644020240513110252173719</v>
      </c>
      <c r="F8495" s="9"/>
    </row>
    <row r="8496" s="2" customFormat="1" ht="30" customHeight="1" spans="1:6">
      <c r="A8496" s="9">
        <v>8493</v>
      </c>
      <c r="B8496" s="10" t="s">
        <v>8086</v>
      </c>
      <c r="C8496" s="10" t="s">
        <v>8087</v>
      </c>
      <c r="D8496" s="10" t="s">
        <v>8119</v>
      </c>
      <c r="E8496" s="10" t="str">
        <f>"644020240512190958170537"</f>
        <v>644020240512190958170537</v>
      </c>
      <c r="F8496" s="9"/>
    </row>
    <row r="8497" s="2" customFormat="1" ht="30" customHeight="1" spans="1:6">
      <c r="A8497" s="9">
        <v>8494</v>
      </c>
      <c r="B8497" s="10" t="s">
        <v>8086</v>
      </c>
      <c r="C8497" s="10" t="s">
        <v>8087</v>
      </c>
      <c r="D8497" s="10" t="s">
        <v>8120</v>
      </c>
      <c r="E8497" s="10" t="str">
        <f>"644020240513105837173676"</f>
        <v>644020240513105837173676</v>
      </c>
      <c r="F8497" s="9"/>
    </row>
    <row r="8498" s="2" customFormat="1" ht="30" customHeight="1" spans="1:6">
      <c r="A8498" s="9">
        <v>8495</v>
      </c>
      <c r="B8498" s="10" t="s">
        <v>8086</v>
      </c>
      <c r="C8498" s="10" t="s">
        <v>8087</v>
      </c>
      <c r="D8498" s="10" t="s">
        <v>8121</v>
      </c>
      <c r="E8498" s="10" t="str">
        <f>"644020240512220433171352"</f>
        <v>644020240512220433171352</v>
      </c>
      <c r="F8498" s="9"/>
    </row>
    <row r="8499" s="2" customFormat="1" ht="30" customHeight="1" spans="1:6">
      <c r="A8499" s="9">
        <v>8496</v>
      </c>
      <c r="B8499" s="10" t="s">
        <v>8086</v>
      </c>
      <c r="C8499" s="10" t="s">
        <v>8087</v>
      </c>
      <c r="D8499" s="10" t="s">
        <v>8122</v>
      </c>
      <c r="E8499" s="10" t="str">
        <f>"644020240513144513175072"</f>
        <v>644020240513144513175072</v>
      </c>
      <c r="F8499" s="9"/>
    </row>
    <row r="8500" s="2" customFormat="1" ht="30" customHeight="1" spans="1:6">
      <c r="A8500" s="9">
        <v>8497</v>
      </c>
      <c r="B8500" s="10" t="s">
        <v>8086</v>
      </c>
      <c r="C8500" s="10" t="s">
        <v>8087</v>
      </c>
      <c r="D8500" s="10" t="s">
        <v>8123</v>
      </c>
      <c r="E8500" s="10" t="str">
        <f>"644020240513151102175282"</f>
        <v>644020240513151102175282</v>
      </c>
      <c r="F8500" s="9"/>
    </row>
    <row r="8501" s="2" customFormat="1" ht="30" customHeight="1" spans="1:6">
      <c r="A8501" s="9">
        <v>8498</v>
      </c>
      <c r="B8501" s="10" t="s">
        <v>8086</v>
      </c>
      <c r="C8501" s="10" t="s">
        <v>8087</v>
      </c>
      <c r="D8501" s="10" t="s">
        <v>8124</v>
      </c>
      <c r="E8501" s="10" t="str">
        <f>"644020240513145640175154"</f>
        <v>644020240513145640175154</v>
      </c>
      <c r="F8501" s="9"/>
    </row>
    <row r="8502" s="2" customFormat="1" ht="30" customHeight="1" spans="1:6">
      <c r="A8502" s="9">
        <v>8499</v>
      </c>
      <c r="B8502" s="10" t="s">
        <v>8086</v>
      </c>
      <c r="C8502" s="10" t="s">
        <v>8087</v>
      </c>
      <c r="D8502" s="10" t="s">
        <v>8125</v>
      </c>
      <c r="E8502" s="10" t="str">
        <f>"644020240513161059175851"</f>
        <v>644020240513161059175851</v>
      </c>
      <c r="F8502" s="9"/>
    </row>
    <row r="8503" s="2" customFormat="1" ht="30" customHeight="1" spans="1:6">
      <c r="A8503" s="9">
        <v>8500</v>
      </c>
      <c r="B8503" s="10" t="s">
        <v>8086</v>
      </c>
      <c r="C8503" s="10" t="s">
        <v>8087</v>
      </c>
      <c r="D8503" s="10" t="s">
        <v>8126</v>
      </c>
      <c r="E8503" s="10" t="str">
        <f>"644020240512111755168819"</f>
        <v>644020240512111755168819</v>
      </c>
      <c r="F8503" s="9"/>
    </row>
    <row r="8504" s="2" customFormat="1" ht="30" customHeight="1" spans="1:6">
      <c r="A8504" s="9">
        <v>8501</v>
      </c>
      <c r="B8504" s="10" t="s">
        <v>8086</v>
      </c>
      <c r="C8504" s="10" t="s">
        <v>8087</v>
      </c>
      <c r="D8504" s="10" t="s">
        <v>8127</v>
      </c>
      <c r="E8504" s="10" t="str">
        <f>"644020240513164044176002"</f>
        <v>644020240513164044176002</v>
      </c>
      <c r="F8504" s="9"/>
    </row>
    <row r="8505" s="2" customFormat="1" ht="30" customHeight="1" spans="1:6">
      <c r="A8505" s="9">
        <v>8502</v>
      </c>
      <c r="B8505" s="10" t="s">
        <v>8086</v>
      </c>
      <c r="C8505" s="10" t="s">
        <v>8087</v>
      </c>
      <c r="D8505" s="10" t="s">
        <v>8128</v>
      </c>
      <c r="E8505" s="10" t="str">
        <f>"644020240513163029175945"</f>
        <v>644020240513163029175945</v>
      </c>
      <c r="F8505" s="9"/>
    </row>
    <row r="8506" s="2" customFormat="1" ht="30" customHeight="1" spans="1:6">
      <c r="A8506" s="9">
        <v>8503</v>
      </c>
      <c r="B8506" s="10" t="s">
        <v>8086</v>
      </c>
      <c r="C8506" s="10" t="s">
        <v>8087</v>
      </c>
      <c r="D8506" s="10" t="s">
        <v>8129</v>
      </c>
      <c r="E8506" s="10" t="str">
        <f>"644020240513164458176022"</f>
        <v>644020240513164458176022</v>
      </c>
      <c r="F8506" s="9"/>
    </row>
    <row r="8507" s="2" customFormat="1" ht="30" customHeight="1" spans="1:6">
      <c r="A8507" s="9">
        <v>8504</v>
      </c>
      <c r="B8507" s="10" t="s">
        <v>8086</v>
      </c>
      <c r="C8507" s="10" t="s">
        <v>8087</v>
      </c>
      <c r="D8507" s="10" t="s">
        <v>8130</v>
      </c>
      <c r="E8507" s="10" t="str">
        <f>"644020240512100456168416"</f>
        <v>644020240512100456168416</v>
      </c>
      <c r="F8507" s="9"/>
    </row>
    <row r="8508" s="2" customFormat="1" ht="30" customHeight="1" spans="1:6">
      <c r="A8508" s="9">
        <v>8505</v>
      </c>
      <c r="B8508" s="10" t="s">
        <v>8086</v>
      </c>
      <c r="C8508" s="10" t="s">
        <v>8087</v>
      </c>
      <c r="D8508" s="10" t="s">
        <v>8131</v>
      </c>
      <c r="E8508" s="10" t="str">
        <f>"644020240513170905176137"</f>
        <v>644020240513170905176137</v>
      </c>
      <c r="F8508" s="9"/>
    </row>
    <row r="8509" s="2" customFormat="1" ht="30" customHeight="1" spans="1:6">
      <c r="A8509" s="9">
        <v>8506</v>
      </c>
      <c r="B8509" s="10" t="s">
        <v>8086</v>
      </c>
      <c r="C8509" s="10" t="s">
        <v>8087</v>
      </c>
      <c r="D8509" s="10" t="s">
        <v>8132</v>
      </c>
      <c r="E8509" s="10" t="str">
        <f>"644020240513144036175041"</f>
        <v>644020240513144036175041</v>
      </c>
      <c r="F8509" s="9"/>
    </row>
    <row r="8510" s="2" customFormat="1" ht="30" customHeight="1" spans="1:6">
      <c r="A8510" s="9">
        <v>8507</v>
      </c>
      <c r="B8510" s="10" t="s">
        <v>8086</v>
      </c>
      <c r="C8510" s="10" t="s">
        <v>8087</v>
      </c>
      <c r="D8510" s="10" t="s">
        <v>8133</v>
      </c>
      <c r="E8510" s="10" t="str">
        <f>"644020240513174759176301"</f>
        <v>644020240513174759176301</v>
      </c>
      <c r="F8510" s="9"/>
    </row>
    <row r="8511" s="2" customFormat="1" ht="30" customHeight="1" spans="1:6">
      <c r="A8511" s="9">
        <v>8508</v>
      </c>
      <c r="B8511" s="10" t="s">
        <v>8086</v>
      </c>
      <c r="C8511" s="10" t="s">
        <v>8087</v>
      </c>
      <c r="D8511" s="10" t="s">
        <v>8134</v>
      </c>
      <c r="E8511" s="10" t="str">
        <f>"644020240513175434176321"</f>
        <v>644020240513175434176321</v>
      </c>
      <c r="F8511" s="9"/>
    </row>
    <row r="8512" s="2" customFormat="1" ht="30" customHeight="1" spans="1:6">
      <c r="A8512" s="9">
        <v>8509</v>
      </c>
      <c r="B8512" s="10" t="s">
        <v>8086</v>
      </c>
      <c r="C8512" s="10" t="s">
        <v>8087</v>
      </c>
      <c r="D8512" s="10" t="s">
        <v>8135</v>
      </c>
      <c r="E8512" s="10" t="str">
        <f>"644020240513192621176601"</f>
        <v>644020240513192621176601</v>
      </c>
      <c r="F8512" s="9"/>
    </row>
    <row r="8513" s="2" customFormat="1" ht="30" customHeight="1" spans="1:6">
      <c r="A8513" s="9">
        <v>8510</v>
      </c>
      <c r="B8513" s="10" t="s">
        <v>8086</v>
      </c>
      <c r="C8513" s="10" t="s">
        <v>8087</v>
      </c>
      <c r="D8513" s="10" t="s">
        <v>8136</v>
      </c>
      <c r="E8513" s="10" t="str">
        <f>"644020240513112831173950"</f>
        <v>644020240513112831173950</v>
      </c>
      <c r="F8513" s="9"/>
    </row>
    <row r="8514" s="2" customFormat="1" ht="30" customHeight="1" spans="1:6">
      <c r="A8514" s="9">
        <v>8511</v>
      </c>
      <c r="B8514" s="10" t="s">
        <v>8086</v>
      </c>
      <c r="C8514" s="10" t="s">
        <v>8087</v>
      </c>
      <c r="D8514" s="10" t="s">
        <v>8137</v>
      </c>
      <c r="E8514" s="10" t="str">
        <f>"644020240513193558176640"</f>
        <v>644020240513193558176640</v>
      </c>
      <c r="F8514" s="9"/>
    </row>
    <row r="8515" s="2" customFormat="1" ht="30" customHeight="1" spans="1:6">
      <c r="A8515" s="9">
        <v>8512</v>
      </c>
      <c r="B8515" s="10" t="s">
        <v>8086</v>
      </c>
      <c r="C8515" s="10" t="s">
        <v>8087</v>
      </c>
      <c r="D8515" s="10" t="s">
        <v>8138</v>
      </c>
      <c r="E8515" s="10" t="str">
        <f>"644020240513213142177099"</f>
        <v>644020240513213142177099</v>
      </c>
      <c r="F8515" s="9"/>
    </row>
    <row r="8516" s="2" customFormat="1" ht="30" customHeight="1" spans="1:6">
      <c r="A8516" s="9">
        <v>8513</v>
      </c>
      <c r="B8516" s="10" t="s">
        <v>8086</v>
      </c>
      <c r="C8516" s="10" t="s">
        <v>8087</v>
      </c>
      <c r="D8516" s="10" t="s">
        <v>8139</v>
      </c>
      <c r="E8516" s="10" t="str">
        <f>"644020240513163947175995"</f>
        <v>644020240513163947175995</v>
      </c>
      <c r="F8516" s="9"/>
    </row>
    <row r="8517" s="2" customFormat="1" ht="30" customHeight="1" spans="1:6">
      <c r="A8517" s="9">
        <v>8514</v>
      </c>
      <c r="B8517" s="10" t="s">
        <v>8086</v>
      </c>
      <c r="C8517" s="10" t="s">
        <v>8087</v>
      </c>
      <c r="D8517" s="10" t="s">
        <v>8140</v>
      </c>
      <c r="E8517" s="10" t="str">
        <f>"644020240512205809170982"</f>
        <v>644020240512205809170982</v>
      </c>
      <c r="F8517" s="9"/>
    </row>
    <row r="8518" s="2" customFormat="1" ht="30" customHeight="1" spans="1:6">
      <c r="A8518" s="9">
        <v>8515</v>
      </c>
      <c r="B8518" s="10" t="s">
        <v>8086</v>
      </c>
      <c r="C8518" s="10" t="s">
        <v>8087</v>
      </c>
      <c r="D8518" s="10" t="s">
        <v>8141</v>
      </c>
      <c r="E8518" s="10" t="str">
        <f>"644020240513215355177189"</f>
        <v>644020240513215355177189</v>
      </c>
      <c r="F8518" s="9"/>
    </row>
    <row r="8519" s="2" customFormat="1" ht="30" customHeight="1" spans="1:6">
      <c r="A8519" s="9">
        <v>8516</v>
      </c>
      <c r="B8519" s="10" t="s">
        <v>8086</v>
      </c>
      <c r="C8519" s="10" t="s">
        <v>8087</v>
      </c>
      <c r="D8519" s="10" t="s">
        <v>8142</v>
      </c>
      <c r="E8519" s="10" t="str">
        <f>"644020240513223154177371"</f>
        <v>644020240513223154177371</v>
      </c>
      <c r="F8519" s="9"/>
    </row>
    <row r="8520" s="2" customFormat="1" ht="30" customHeight="1" spans="1:6">
      <c r="A8520" s="9">
        <v>8517</v>
      </c>
      <c r="B8520" s="10" t="s">
        <v>8086</v>
      </c>
      <c r="C8520" s="10" t="s">
        <v>8087</v>
      </c>
      <c r="D8520" s="10" t="s">
        <v>8143</v>
      </c>
      <c r="E8520" s="10" t="str">
        <f>"644020240514000807177652"</f>
        <v>644020240514000807177652</v>
      </c>
      <c r="F8520" s="9"/>
    </row>
    <row r="8521" s="2" customFormat="1" ht="30" customHeight="1" spans="1:6">
      <c r="A8521" s="9">
        <v>8518</v>
      </c>
      <c r="B8521" s="10" t="s">
        <v>8086</v>
      </c>
      <c r="C8521" s="10" t="s">
        <v>8087</v>
      </c>
      <c r="D8521" s="10" t="s">
        <v>8144</v>
      </c>
      <c r="E8521" s="10" t="str">
        <f>"644020240514024049177755"</f>
        <v>644020240514024049177755</v>
      </c>
      <c r="F8521" s="9"/>
    </row>
    <row r="8522" s="2" customFormat="1" ht="30" customHeight="1" spans="1:6">
      <c r="A8522" s="9">
        <v>8519</v>
      </c>
      <c r="B8522" s="10" t="s">
        <v>8086</v>
      </c>
      <c r="C8522" s="10" t="s">
        <v>8087</v>
      </c>
      <c r="D8522" s="10" t="s">
        <v>8145</v>
      </c>
      <c r="E8522" s="10" t="str">
        <f>"644020240512234807171885"</f>
        <v>644020240512234807171885</v>
      </c>
      <c r="F8522" s="9"/>
    </row>
    <row r="8523" s="2" customFormat="1" ht="30" customHeight="1" spans="1:6">
      <c r="A8523" s="9">
        <v>8520</v>
      </c>
      <c r="B8523" s="10" t="s">
        <v>8086</v>
      </c>
      <c r="C8523" s="10" t="s">
        <v>8087</v>
      </c>
      <c r="D8523" s="10" t="s">
        <v>8146</v>
      </c>
      <c r="E8523" s="10" t="str">
        <f>"644020240514084535177903"</f>
        <v>644020240514084535177903</v>
      </c>
      <c r="F8523" s="9"/>
    </row>
    <row r="8524" s="2" customFormat="1" ht="30" customHeight="1" spans="1:6">
      <c r="A8524" s="9">
        <v>8521</v>
      </c>
      <c r="B8524" s="10" t="s">
        <v>8086</v>
      </c>
      <c r="C8524" s="10" t="s">
        <v>8087</v>
      </c>
      <c r="D8524" s="10" t="s">
        <v>8147</v>
      </c>
      <c r="E8524" s="10" t="str">
        <f>"644020240514090843178009"</f>
        <v>644020240514090843178009</v>
      </c>
      <c r="F8524" s="9"/>
    </row>
    <row r="8525" s="2" customFormat="1" ht="30" customHeight="1" spans="1:6">
      <c r="A8525" s="9">
        <v>8522</v>
      </c>
      <c r="B8525" s="10" t="s">
        <v>8086</v>
      </c>
      <c r="C8525" s="10" t="s">
        <v>8087</v>
      </c>
      <c r="D8525" s="10" t="s">
        <v>8148</v>
      </c>
      <c r="E8525" s="10" t="str">
        <f>"644020240514085750177943"</f>
        <v>644020240514085750177943</v>
      </c>
      <c r="F8525" s="9"/>
    </row>
    <row r="8526" s="2" customFormat="1" ht="30" customHeight="1" spans="1:6">
      <c r="A8526" s="9">
        <v>8523</v>
      </c>
      <c r="B8526" s="10" t="s">
        <v>8086</v>
      </c>
      <c r="C8526" s="10" t="s">
        <v>8087</v>
      </c>
      <c r="D8526" s="10" t="s">
        <v>8149</v>
      </c>
      <c r="E8526" s="10" t="str">
        <f>"644020240514094412178191"</f>
        <v>644020240514094412178191</v>
      </c>
      <c r="F8526" s="9"/>
    </row>
    <row r="8527" s="2" customFormat="1" ht="30" customHeight="1" spans="1:6">
      <c r="A8527" s="9">
        <v>8524</v>
      </c>
      <c r="B8527" s="10" t="s">
        <v>8086</v>
      </c>
      <c r="C8527" s="10" t="s">
        <v>8087</v>
      </c>
      <c r="D8527" s="10" t="s">
        <v>8150</v>
      </c>
      <c r="E8527" s="10" t="str">
        <f>"644020240514001747177664"</f>
        <v>644020240514001747177664</v>
      </c>
      <c r="F8527" s="9"/>
    </row>
    <row r="8528" s="2" customFormat="1" ht="30" customHeight="1" spans="1:6">
      <c r="A8528" s="9">
        <v>8525</v>
      </c>
      <c r="B8528" s="10" t="s">
        <v>8086</v>
      </c>
      <c r="C8528" s="10" t="s">
        <v>8087</v>
      </c>
      <c r="D8528" s="10" t="s">
        <v>8151</v>
      </c>
      <c r="E8528" s="10" t="str">
        <f>"644020240514100420178287"</f>
        <v>644020240514100420178287</v>
      </c>
      <c r="F8528" s="9"/>
    </row>
    <row r="8529" s="2" customFormat="1" ht="30" customHeight="1" spans="1:6">
      <c r="A8529" s="9">
        <v>8526</v>
      </c>
      <c r="B8529" s="10" t="s">
        <v>8086</v>
      </c>
      <c r="C8529" s="10" t="s">
        <v>8087</v>
      </c>
      <c r="D8529" s="10" t="s">
        <v>8152</v>
      </c>
      <c r="E8529" s="10" t="str">
        <f>"644020240513210017176957"</f>
        <v>644020240513210017176957</v>
      </c>
      <c r="F8529" s="9"/>
    </row>
    <row r="8530" s="2" customFormat="1" ht="30" customHeight="1" spans="1:6">
      <c r="A8530" s="9">
        <v>8527</v>
      </c>
      <c r="B8530" s="10" t="s">
        <v>8086</v>
      </c>
      <c r="C8530" s="10" t="s">
        <v>8087</v>
      </c>
      <c r="D8530" s="10" t="s">
        <v>8153</v>
      </c>
      <c r="E8530" s="10" t="str">
        <f>"644020240514111305178648"</f>
        <v>644020240514111305178648</v>
      </c>
      <c r="F8530" s="9"/>
    </row>
    <row r="8531" s="2" customFormat="1" ht="30" customHeight="1" spans="1:6">
      <c r="A8531" s="9">
        <v>8528</v>
      </c>
      <c r="B8531" s="10" t="s">
        <v>8086</v>
      </c>
      <c r="C8531" s="10" t="s">
        <v>8087</v>
      </c>
      <c r="D8531" s="10" t="s">
        <v>8154</v>
      </c>
      <c r="E8531" s="10" t="str">
        <f>"644020240513144850175100"</f>
        <v>644020240513144850175100</v>
      </c>
      <c r="F8531" s="9"/>
    </row>
    <row r="8532" s="2" customFormat="1" ht="30" customHeight="1" spans="1:6">
      <c r="A8532" s="9">
        <v>8529</v>
      </c>
      <c r="B8532" s="10" t="s">
        <v>8086</v>
      </c>
      <c r="C8532" s="10" t="s">
        <v>8087</v>
      </c>
      <c r="D8532" s="10" t="s">
        <v>8155</v>
      </c>
      <c r="E8532" s="10" t="str">
        <f>"644020240514111951178672"</f>
        <v>644020240514111951178672</v>
      </c>
      <c r="F8532" s="9"/>
    </row>
    <row r="8533" s="2" customFormat="1" ht="30" customHeight="1" spans="1:6">
      <c r="A8533" s="9">
        <v>8530</v>
      </c>
      <c r="B8533" s="10" t="s">
        <v>8086</v>
      </c>
      <c r="C8533" s="10" t="s">
        <v>8087</v>
      </c>
      <c r="D8533" s="10" t="s">
        <v>8156</v>
      </c>
      <c r="E8533" s="10" t="str">
        <f>"644020240514123543178906"</f>
        <v>644020240514123543178906</v>
      </c>
      <c r="F8533" s="9"/>
    </row>
    <row r="8534" s="2" customFormat="1" ht="30" customHeight="1" spans="1:6">
      <c r="A8534" s="9">
        <v>8531</v>
      </c>
      <c r="B8534" s="10" t="s">
        <v>8086</v>
      </c>
      <c r="C8534" s="10" t="s">
        <v>8087</v>
      </c>
      <c r="D8534" s="10" t="s">
        <v>1587</v>
      </c>
      <c r="E8534" s="10" t="str">
        <f>"644020240514123743178910"</f>
        <v>644020240514123743178910</v>
      </c>
      <c r="F8534" s="9"/>
    </row>
    <row r="8535" s="2" customFormat="1" ht="30" customHeight="1" spans="1:6">
      <c r="A8535" s="9">
        <v>8532</v>
      </c>
      <c r="B8535" s="10" t="s">
        <v>8086</v>
      </c>
      <c r="C8535" s="10" t="s">
        <v>8087</v>
      </c>
      <c r="D8535" s="10" t="s">
        <v>8157</v>
      </c>
      <c r="E8535" s="10" t="str">
        <f>"644020240513155003175678"</f>
        <v>644020240513155003175678</v>
      </c>
      <c r="F8535" s="9"/>
    </row>
    <row r="8536" s="2" customFormat="1" ht="30" customHeight="1" spans="1:6">
      <c r="A8536" s="9">
        <v>8533</v>
      </c>
      <c r="B8536" s="10" t="s">
        <v>8086</v>
      </c>
      <c r="C8536" s="10" t="s">
        <v>8087</v>
      </c>
      <c r="D8536" s="10" t="s">
        <v>8158</v>
      </c>
      <c r="E8536" s="10" t="str">
        <f>"644020240514133115179029"</f>
        <v>644020240514133115179029</v>
      </c>
      <c r="F8536" s="9"/>
    </row>
    <row r="8537" s="2" customFormat="1" ht="30" customHeight="1" spans="1:6">
      <c r="A8537" s="9">
        <v>8534</v>
      </c>
      <c r="B8537" s="10" t="s">
        <v>8086</v>
      </c>
      <c r="C8537" s="10" t="s">
        <v>8087</v>
      </c>
      <c r="D8537" s="10" t="s">
        <v>8159</v>
      </c>
      <c r="E8537" s="10" t="str">
        <f>"644020240514104458178528"</f>
        <v>644020240514104458178528</v>
      </c>
      <c r="F8537" s="9"/>
    </row>
    <row r="8538" s="2" customFormat="1" ht="30" customHeight="1" spans="1:6">
      <c r="A8538" s="9">
        <v>8535</v>
      </c>
      <c r="B8538" s="10" t="s">
        <v>8086</v>
      </c>
      <c r="C8538" s="10" t="s">
        <v>8087</v>
      </c>
      <c r="D8538" s="10" t="s">
        <v>8160</v>
      </c>
      <c r="E8538" s="10" t="str">
        <f>"644020240514110347178614"</f>
        <v>644020240514110347178614</v>
      </c>
      <c r="F8538" s="9"/>
    </row>
    <row r="8539" s="2" customFormat="1" ht="30" customHeight="1" spans="1:6">
      <c r="A8539" s="9">
        <v>8536</v>
      </c>
      <c r="B8539" s="10" t="s">
        <v>8086</v>
      </c>
      <c r="C8539" s="10" t="s">
        <v>8087</v>
      </c>
      <c r="D8539" s="10" t="s">
        <v>8161</v>
      </c>
      <c r="E8539" s="10" t="str">
        <f>"644020240514143755179144"</f>
        <v>644020240514143755179144</v>
      </c>
      <c r="F8539" s="9"/>
    </row>
    <row r="8540" s="2" customFormat="1" ht="30" customHeight="1" spans="1:6">
      <c r="A8540" s="9">
        <v>8537</v>
      </c>
      <c r="B8540" s="10" t="s">
        <v>8086</v>
      </c>
      <c r="C8540" s="10" t="s">
        <v>8087</v>
      </c>
      <c r="D8540" s="10" t="s">
        <v>8162</v>
      </c>
      <c r="E8540" s="10" t="str">
        <f>"644020240513145707175161"</f>
        <v>644020240513145707175161</v>
      </c>
      <c r="F8540" s="9"/>
    </row>
    <row r="8541" s="2" customFormat="1" ht="30" customHeight="1" spans="1:6">
      <c r="A8541" s="9">
        <v>8538</v>
      </c>
      <c r="B8541" s="10" t="s">
        <v>8086</v>
      </c>
      <c r="C8541" s="10" t="s">
        <v>8087</v>
      </c>
      <c r="D8541" s="10" t="s">
        <v>8163</v>
      </c>
      <c r="E8541" s="10" t="str">
        <f>"644020240514162926179498"</f>
        <v>644020240514162926179498</v>
      </c>
      <c r="F8541" s="9"/>
    </row>
    <row r="8542" s="2" customFormat="1" ht="30" customHeight="1" spans="1:6">
      <c r="A8542" s="9">
        <v>8539</v>
      </c>
      <c r="B8542" s="10" t="s">
        <v>8086</v>
      </c>
      <c r="C8542" s="10" t="s">
        <v>8087</v>
      </c>
      <c r="D8542" s="10" t="s">
        <v>1220</v>
      </c>
      <c r="E8542" s="10" t="str">
        <f>"644020240514172229179688"</f>
        <v>644020240514172229179688</v>
      </c>
      <c r="F8542" s="9"/>
    </row>
    <row r="8543" s="2" customFormat="1" ht="30" customHeight="1" spans="1:6">
      <c r="A8543" s="9">
        <v>8540</v>
      </c>
      <c r="B8543" s="10" t="s">
        <v>8086</v>
      </c>
      <c r="C8543" s="10" t="s">
        <v>8087</v>
      </c>
      <c r="D8543" s="10" t="s">
        <v>8164</v>
      </c>
      <c r="E8543" s="10" t="str">
        <f>"644020240514182443179822"</f>
        <v>644020240514182443179822</v>
      </c>
      <c r="F8543" s="9"/>
    </row>
    <row r="8544" s="2" customFormat="1" ht="30" customHeight="1" spans="1:6">
      <c r="A8544" s="9">
        <v>8541</v>
      </c>
      <c r="B8544" s="10" t="s">
        <v>8086</v>
      </c>
      <c r="C8544" s="10" t="s">
        <v>8087</v>
      </c>
      <c r="D8544" s="10" t="s">
        <v>8165</v>
      </c>
      <c r="E8544" s="10" t="str">
        <f>"644020240512235405171907"</f>
        <v>644020240512235405171907</v>
      </c>
      <c r="F8544" s="9"/>
    </row>
    <row r="8545" s="2" customFormat="1" ht="30" customHeight="1" spans="1:6">
      <c r="A8545" s="9">
        <v>8542</v>
      </c>
      <c r="B8545" s="10" t="s">
        <v>8086</v>
      </c>
      <c r="C8545" s="10" t="s">
        <v>8087</v>
      </c>
      <c r="D8545" s="10" t="s">
        <v>8166</v>
      </c>
      <c r="E8545" s="10" t="str">
        <f>"644020240514190925179906"</f>
        <v>644020240514190925179906</v>
      </c>
      <c r="F8545" s="9"/>
    </row>
    <row r="8546" s="2" customFormat="1" ht="30" customHeight="1" spans="1:6">
      <c r="A8546" s="9">
        <v>8543</v>
      </c>
      <c r="B8546" s="10" t="s">
        <v>8086</v>
      </c>
      <c r="C8546" s="10" t="s">
        <v>8087</v>
      </c>
      <c r="D8546" s="10" t="s">
        <v>8167</v>
      </c>
      <c r="E8546" s="10" t="str">
        <f>"644020240514201324180006"</f>
        <v>644020240514201324180006</v>
      </c>
      <c r="F8546" s="9"/>
    </row>
    <row r="8547" s="2" customFormat="1" ht="30" customHeight="1" spans="1:6">
      <c r="A8547" s="9">
        <v>8544</v>
      </c>
      <c r="B8547" s="10" t="s">
        <v>8086</v>
      </c>
      <c r="C8547" s="10" t="s">
        <v>8087</v>
      </c>
      <c r="D8547" s="10" t="s">
        <v>8168</v>
      </c>
      <c r="E8547" s="10" t="str">
        <f>"644020240514212701180196"</f>
        <v>644020240514212701180196</v>
      </c>
      <c r="F8547" s="9"/>
    </row>
    <row r="8548" s="2" customFormat="1" ht="30" customHeight="1" spans="1:6">
      <c r="A8548" s="9">
        <v>8545</v>
      </c>
      <c r="B8548" s="10" t="s">
        <v>8086</v>
      </c>
      <c r="C8548" s="10" t="s">
        <v>8087</v>
      </c>
      <c r="D8548" s="10" t="s">
        <v>8169</v>
      </c>
      <c r="E8548" s="10" t="str">
        <f>"644020240514165231179579"</f>
        <v>644020240514165231179579</v>
      </c>
      <c r="F8548" s="9"/>
    </row>
    <row r="8549" s="2" customFormat="1" ht="30" customHeight="1" spans="1:6">
      <c r="A8549" s="9">
        <v>8546</v>
      </c>
      <c r="B8549" s="10" t="s">
        <v>8086</v>
      </c>
      <c r="C8549" s="10" t="s">
        <v>8087</v>
      </c>
      <c r="D8549" s="10" t="s">
        <v>8170</v>
      </c>
      <c r="E8549" s="10" t="str">
        <f>"644020240513000629171941"</f>
        <v>644020240513000629171941</v>
      </c>
      <c r="F8549" s="9"/>
    </row>
    <row r="8550" s="2" customFormat="1" ht="30" customHeight="1" spans="1:6">
      <c r="A8550" s="9">
        <v>8547</v>
      </c>
      <c r="B8550" s="10" t="s">
        <v>8086</v>
      </c>
      <c r="C8550" s="10" t="s">
        <v>8087</v>
      </c>
      <c r="D8550" s="10" t="s">
        <v>8171</v>
      </c>
      <c r="E8550" s="10" t="str">
        <f>"644020240514223320180388"</f>
        <v>644020240514223320180388</v>
      </c>
      <c r="F8550" s="9"/>
    </row>
    <row r="8551" s="2" customFormat="1" ht="30" customHeight="1" spans="1:6">
      <c r="A8551" s="9">
        <v>8548</v>
      </c>
      <c r="B8551" s="10" t="s">
        <v>8086</v>
      </c>
      <c r="C8551" s="10" t="s">
        <v>8087</v>
      </c>
      <c r="D8551" s="10" t="s">
        <v>8172</v>
      </c>
      <c r="E8551" s="10" t="str">
        <f>"644020240514120955178845"</f>
        <v>644020240514120955178845</v>
      </c>
      <c r="F8551" s="9"/>
    </row>
    <row r="8552" s="2" customFormat="1" ht="30" customHeight="1" spans="1:6">
      <c r="A8552" s="9">
        <v>8549</v>
      </c>
      <c r="B8552" s="10" t="s">
        <v>8086</v>
      </c>
      <c r="C8552" s="10" t="s">
        <v>8087</v>
      </c>
      <c r="D8552" s="10" t="s">
        <v>8173</v>
      </c>
      <c r="E8552" s="10" t="str">
        <f>"644020240512103243168580"</f>
        <v>644020240512103243168580</v>
      </c>
      <c r="F8552" s="9"/>
    </row>
    <row r="8553" s="2" customFormat="1" ht="30" customHeight="1" spans="1:6">
      <c r="A8553" s="9">
        <v>8550</v>
      </c>
      <c r="B8553" s="10" t="s">
        <v>8086</v>
      </c>
      <c r="C8553" s="10" t="s">
        <v>8087</v>
      </c>
      <c r="D8553" s="10" t="s">
        <v>8174</v>
      </c>
      <c r="E8553" s="10" t="str">
        <f>"644020240514172758179703"</f>
        <v>644020240514172758179703</v>
      </c>
      <c r="F8553" s="9"/>
    </row>
    <row r="8554" s="2" customFormat="1" ht="30" customHeight="1" spans="1:6">
      <c r="A8554" s="9">
        <v>8551</v>
      </c>
      <c r="B8554" s="10" t="s">
        <v>8086</v>
      </c>
      <c r="C8554" s="10" t="s">
        <v>8087</v>
      </c>
      <c r="D8554" s="10" t="s">
        <v>8175</v>
      </c>
      <c r="E8554" s="10" t="str">
        <f>"644020240515075228180657"</f>
        <v>644020240515075228180657</v>
      </c>
      <c r="F8554" s="9"/>
    </row>
    <row r="8555" s="2" customFormat="1" ht="30" customHeight="1" spans="1:6">
      <c r="A8555" s="9">
        <v>8552</v>
      </c>
      <c r="B8555" s="10" t="s">
        <v>8086</v>
      </c>
      <c r="C8555" s="10" t="s">
        <v>8087</v>
      </c>
      <c r="D8555" s="10" t="s">
        <v>8176</v>
      </c>
      <c r="E8555" s="10" t="str">
        <f>"644020240515075341180659"</f>
        <v>644020240515075341180659</v>
      </c>
      <c r="F8555" s="9"/>
    </row>
    <row r="8556" s="2" customFormat="1" ht="30" customHeight="1" spans="1:6">
      <c r="A8556" s="9">
        <v>8553</v>
      </c>
      <c r="B8556" s="10" t="s">
        <v>8086</v>
      </c>
      <c r="C8556" s="10" t="s">
        <v>8087</v>
      </c>
      <c r="D8556" s="10" t="s">
        <v>8177</v>
      </c>
      <c r="E8556" s="10" t="str">
        <f>"644020240515095635180941"</f>
        <v>644020240515095635180941</v>
      </c>
      <c r="F8556" s="9"/>
    </row>
    <row r="8557" s="2" customFormat="1" ht="30" customHeight="1" spans="1:6">
      <c r="A8557" s="9">
        <v>8554</v>
      </c>
      <c r="B8557" s="10" t="s">
        <v>8086</v>
      </c>
      <c r="C8557" s="10" t="s">
        <v>8087</v>
      </c>
      <c r="D8557" s="10" t="s">
        <v>8178</v>
      </c>
      <c r="E8557" s="10" t="str">
        <f>"644020240515102127181012"</f>
        <v>644020240515102127181012</v>
      </c>
      <c r="F8557" s="9"/>
    </row>
    <row r="8558" s="2" customFormat="1" ht="30" customHeight="1" spans="1:6">
      <c r="A8558" s="9">
        <v>8555</v>
      </c>
      <c r="B8558" s="10" t="s">
        <v>8086</v>
      </c>
      <c r="C8558" s="10" t="s">
        <v>8087</v>
      </c>
      <c r="D8558" s="10" t="s">
        <v>8179</v>
      </c>
      <c r="E8558" s="10" t="str">
        <f>"644020240515111642181200"</f>
        <v>644020240515111642181200</v>
      </c>
      <c r="F8558" s="9"/>
    </row>
    <row r="8559" s="2" customFormat="1" ht="30" customHeight="1" spans="1:6">
      <c r="A8559" s="9">
        <v>8556</v>
      </c>
      <c r="B8559" s="10" t="s">
        <v>8086</v>
      </c>
      <c r="C8559" s="10" t="s">
        <v>8087</v>
      </c>
      <c r="D8559" s="10" t="s">
        <v>8180</v>
      </c>
      <c r="E8559" s="10" t="str">
        <f>"644020240515110255181157"</f>
        <v>644020240515110255181157</v>
      </c>
      <c r="F8559" s="9"/>
    </row>
    <row r="8560" s="2" customFormat="1" ht="30" customHeight="1" spans="1:6">
      <c r="A8560" s="9">
        <v>8557</v>
      </c>
      <c r="B8560" s="10" t="s">
        <v>8086</v>
      </c>
      <c r="C8560" s="10" t="s">
        <v>8087</v>
      </c>
      <c r="D8560" s="10" t="s">
        <v>8181</v>
      </c>
      <c r="E8560" s="10" t="str">
        <f>"644020240514102015178370"</f>
        <v>644020240514102015178370</v>
      </c>
      <c r="F8560" s="9"/>
    </row>
    <row r="8561" s="2" customFormat="1" ht="30" customHeight="1" spans="1:6">
      <c r="A8561" s="9">
        <v>8558</v>
      </c>
      <c r="B8561" s="10" t="s">
        <v>8086</v>
      </c>
      <c r="C8561" s="10" t="s">
        <v>8087</v>
      </c>
      <c r="D8561" s="10" t="s">
        <v>8182</v>
      </c>
      <c r="E8561" s="10" t="str">
        <f>"644020240515101308180982"</f>
        <v>644020240515101308180982</v>
      </c>
      <c r="F8561" s="9"/>
    </row>
    <row r="8562" s="2" customFormat="1" ht="30" customHeight="1" spans="1:6">
      <c r="A8562" s="9">
        <v>8559</v>
      </c>
      <c r="B8562" s="10" t="s">
        <v>8086</v>
      </c>
      <c r="C8562" s="10" t="s">
        <v>8087</v>
      </c>
      <c r="D8562" s="10" t="s">
        <v>8183</v>
      </c>
      <c r="E8562" s="10" t="str">
        <f>"644020240515121546181350"</f>
        <v>644020240515121546181350</v>
      </c>
      <c r="F8562" s="9"/>
    </row>
    <row r="8563" s="2" customFormat="1" ht="30" customHeight="1" spans="1:6">
      <c r="A8563" s="9">
        <v>8560</v>
      </c>
      <c r="B8563" s="10" t="s">
        <v>8086</v>
      </c>
      <c r="C8563" s="10" t="s">
        <v>8087</v>
      </c>
      <c r="D8563" s="10" t="s">
        <v>8184</v>
      </c>
      <c r="E8563" s="10" t="str">
        <f>"644020240512162956169998"</f>
        <v>644020240512162956169998</v>
      </c>
      <c r="F8563" s="9"/>
    </row>
    <row r="8564" s="2" customFormat="1" ht="30" customHeight="1" spans="1:6">
      <c r="A8564" s="9">
        <v>8561</v>
      </c>
      <c r="B8564" s="10" t="s">
        <v>8086</v>
      </c>
      <c r="C8564" s="10" t="s">
        <v>8087</v>
      </c>
      <c r="D8564" s="10" t="s">
        <v>8185</v>
      </c>
      <c r="E8564" s="10" t="str">
        <f>"644020240515140601181524"</f>
        <v>644020240515140601181524</v>
      </c>
      <c r="F8564" s="9"/>
    </row>
    <row r="8565" s="2" customFormat="1" ht="30" customHeight="1" spans="1:6">
      <c r="A8565" s="9">
        <v>8562</v>
      </c>
      <c r="B8565" s="10" t="s">
        <v>8086</v>
      </c>
      <c r="C8565" s="10" t="s">
        <v>8087</v>
      </c>
      <c r="D8565" s="10" t="s">
        <v>8186</v>
      </c>
      <c r="E8565" s="10" t="str">
        <f>"644020240515152143181672"</f>
        <v>644020240515152143181672</v>
      </c>
      <c r="F8565" s="9"/>
    </row>
    <row r="8566" s="2" customFormat="1" ht="30" customHeight="1" spans="1:6">
      <c r="A8566" s="9">
        <v>8563</v>
      </c>
      <c r="B8566" s="10" t="s">
        <v>8086</v>
      </c>
      <c r="C8566" s="10" t="s">
        <v>8087</v>
      </c>
      <c r="D8566" s="10" t="s">
        <v>8187</v>
      </c>
      <c r="E8566" s="10" t="str">
        <f>"644020240515145738181612"</f>
        <v>644020240515145738181612</v>
      </c>
      <c r="F8566" s="9"/>
    </row>
    <row r="8567" s="2" customFormat="1" ht="30" customHeight="1" spans="1:6">
      <c r="A8567" s="9">
        <v>8564</v>
      </c>
      <c r="B8567" s="10" t="s">
        <v>8086</v>
      </c>
      <c r="C8567" s="10" t="s">
        <v>8087</v>
      </c>
      <c r="D8567" s="10" t="s">
        <v>8188</v>
      </c>
      <c r="E8567" s="10" t="str">
        <f>"644020240515154017181722"</f>
        <v>644020240515154017181722</v>
      </c>
      <c r="F8567" s="9"/>
    </row>
    <row r="8568" s="2" customFormat="1" ht="30" customHeight="1" spans="1:6">
      <c r="A8568" s="9">
        <v>8565</v>
      </c>
      <c r="B8568" s="10" t="s">
        <v>8086</v>
      </c>
      <c r="C8568" s="10" t="s">
        <v>8087</v>
      </c>
      <c r="D8568" s="10" t="s">
        <v>4116</v>
      </c>
      <c r="E8568" s="10" t="str">
        <f>"644020240515154228181729"</f>
        <v>644020240515154228181729</v>
      </c>
      <c r="F8568" s="9"/>
    </row>
    <row r="8569" s="2" customFormat="1" ht="30" customHeight="1" spans="1:6">
      <c r="A8569" s="9">
        <v>8566</v>
      </c>
      <c r="B8569" s="10" t="s">
        <v>8086</v>
      </c>
      <c r="C8569" s="10" t="s">
        <v>8087</v>
      </c>
      <c r="D8569" s="10" t="s">
        <v>8189</v>
      </c>
      <c r="E8569" s="10" t="str">
        <f>"644020240515154150181726"</f>
        <v>644020240515154150181726</v>
      </c>
      <c r="F8569" s="9"/>
    </row>
    <row r="8570" s="2" customFormat="1" ht="30" customHeight="1" spans="1:6">
      <c r="A8570" s="9">
        <v>8567</v>
      </c>
      <c r="B8570" s="10" t="s">
        <v>8086</v>
      </c>
      <c r="C8570" s="10" t="s">
        <v>8087</v>
      </c>
      <c r="D8570" s="10" t="s">
        <v>403</v>
      </c>
      <c r="E8570" s="10" t="str">
        <f>"644020240514181034179796"</f>
        <v>644020240514181034179796</v>
      </c>
      <c r="F8570" s="9"/>
    </row>
    <row r="8571" s="2" customFormat="1" ht="30" customHeight="1" spans="1:6">
      <c r="A8571" s="9">
        <v>8568</v>
      </c>
      <c r="B8571" s="10" t="s">
        <v>8086</v>
      </c>
      <c r="C8571" s="10" t="s">
        <v>8087</v>
      </c>
      <c r="D8571" s="10" t="s">
        <v>8190</v>
      </c>
      <c r="E8571" s="10" t="str">
        <f>"644020240515154839181746"</f>
        <v>644020240515154839181746</v>
      </c>
      <c r="F8571" s="9"/>
    </row>
    <row r="8572" s="2" customFormat="1" ht="30" customHeight="1" spans="1:6">
      <c r="A8572" s="9">
        <v>8569</v>
      </c>
      <c r="B8572" s="10" t="s">
        <v>8086</v>
      </c>
      <c r="C8572" s="10" t="s">
        <v>8087</v>
      </c>
      <c r="D8572" s="10" t="s">
        <v>8191</v>
      </c>
      <c r="E8572" s="10" t="str">
        <f>"644020240515160228181789"</f>
        <v>644020240515160228181789</v>
      </c>
      <c r="F8572" s="9"/>
    </row>
    <row r="8573" s="2" customFormat="1" ht="30" customHeight="1" spans="1:6">
      <c r="A8573" s="9">
        <v>8570</v>
      </c>
      <c r="B8573" s="10" t="s">
        <v>8086</v>
      </c>
      <c r="C8573" s="10" t="s">
        <v>8087</v>
      </c>
      <c r="D8573" s="10" t="s">
        <v>8192</v>
      </c>
      <c r="E8573" s="10" t="str">
        <f>"644020240515180435182066"</f>
        <v>644020240515180435182066</v>
      </c>
      <c r="F8573" s="9"/>
    </row>
    <row r="8574" s="2" customFormat="1" ht="30" customHeight="1" spans="1:6">
      <c r="A8574" s="9">
        <v>8571</v>
      </c>
      <c r="B8574" s="10" t="s">
        <v>8086</v>
      </c>
      <c r="C8574" s="10" t="s">
        <v>8087</v>
      </c>
      <c r="D8574" s="10" t="s">
        <v>8193</v>
      </c>
      <c r="E8574" s="10" t="str">
        <f>"644020240515193217182176"</f>
        <v>644020240515193217182176</v>
      </c>
      <c r="F8574" s="9"/>
    </row>
    <row r="8575" s="2" customFormat="1" ht="30" customHeight="1" spans="1:6">
      <c r="A8575" s="9">
        <v>8572</v>
      </c>
      <c r="B8575" s="10" t="s">
        <v>8086</v>
      </c>
      <c r="C8575" s="10" t="s">
        <v>8087</v>
      </c>
      <c r="D8575" s="10" t="s">
        <v>8194</v>
      </c>
      <c r="E8575" s="10" t="str">
        <f>"644020240515120743181338"</f>
        <v>644020240515120743181338</v>
      </c>
      <c r="F8575" s="9"/>
    </row>
    <row r="8576" s="2" customFormat="1" ht="30" customHeight="1" spans="1:6">
      <c r="A8576" s="9">
        <v>8573</v>
      </c>
      <c r="B8576" s="10" t="s">
        <v>8086</v>
      </c>
      <c r="C8576" s="10" t="s">
        <v>8087</v>
      </c>
      <c r="D8576" s="10" t="s">
        <v>8195</v>
      </c>
      <c r="E8576" s="10" t="str">
        <f>"644020240515220640182353"</f>
        <v>644020240515220640182353</v>
      </c>
      <c r="F8576" s="9"/>
    </row>
    <row r="8577" s="2" customFormat="1" ht="30" customHeight="1" spans="1:6">
      <c r="A8577" s="9">
        <v>8574</v>
      </c>
      <c r="B8577" s="10" t="s">
        <v>8086</v>
      </c>
      <c r="C8577" s="10" t="s">
        <v>8087</v>
      </c>
      <c r="D8577" s="10" t="s">
        <v>8196</v>
      </c>
      <c r="E8577" s="10" t="str">
        <f>"644020240514151559179250"</f>
        <v>644020240514151559179250</v>
      </c>
      <c r="F8577" s="9"/>
    </row>
    <row r="8578" s="2" customFormat="1" ht="30" customHeight="1" spans="1:6">
      <c r="A8578" s="9">
        <v>8575</v>
      </c>
      <c r="B8578" s="10" t="s">
        <v>8086</v>
      </c>
      <c r="C8578" s="10" t="s">
        <v>8087</v>
      </c>
      <c r="D8578" s="10" t="s">
        <v>8197</v>
      </c>
      <c r="E8578" s="10" t="str">
        <f>"644020240515222050182397"</f>
        <v>644020240515222050182397</v>
      </c>
      <c r="F8578" s="9"/>
    </row>
    <row r="8579" s="2" customFormat="1" ht="30" customHeight="1" spans="1:6">
      <c r="A8579" s="9">
        <v>8576</v>
      </c>
      <c r="B8579" s="10" t="s">
        <v>8086</v>
      </c>
      <c r="C8579" s="10" t="s">
        <v>8087</v>
      </c>
      <c r="D8579" s="10" t="s">
        <v>8198</v>
      </c>
      <c r="E8579" s="10" t="str">
        <f>"644020240515225404182492"</f>
        <v>644020240515225404182492</v>
      </c>
      <c r="F8579" s="9"/>
    </row>
    <row r="8580" s="2" customFormat="1" ht="30" customHeight="1" spans="1:6">
      <c r="A8580" s="9">
        <v>8577</v>
      </c>
      <c r="B8580" s="10" t="s">
        <v>8086</v>
      </c>
      <c r="C8580" s="10" t="s">
        <v>8087</v>
      </c>
      <c r="D8580" s="10" t="s">
        <v>8199</v>
      </c>
      <c r="E8580" s="10" t="str">
        <f>"644020240513183912176446"</f>
        <v>644020240513183912176446</v>
      </c>
      <c r="F8580" s="9"/>
    </row>
    <row r="8581" s="2" customFormat="1" ht="30" customHeight="1" spans="1:6">
      <c r="A8581" s="9">
        <v>8578</v>
      </c>
      <c r="B8581" s="10" t="s">
        <v>8086</v>
      </c>
      <c r="C8581" s="10" t="s">
        <v>8087</v>
      </c>
      <c r="D8581" s="10" t="s">
        <v>6668</v>
      </c>
      <c r="E8581" s="10" t="str">
        <f>"644020240515232739182569"</f>
        <v>644020240515232739182569</v>
      </c>
      <c r="F8581" s="9"/>
    </row>
    <row r="8582" s="2" customFormat="1" ht="30" customHeight="1" spans="1:6">
      <c r="A8582" s="9">
        <v>8579</v>
      </c>
      <c r="B8582" s="10" t="s">
        <v>8086</v>
      </c>
      <c r="C8582" s="10" t="s">
        <v>8087</v>
      </c>
      <c r="D8582" s="10" t="s">
        <v>8200</v>
      </c>
      <c r="E8582" s="10" t="str">
        <f>"644020240515233724182591"</f>
        <v>644020240515233724182591</v>
      </c>
      <c r="F8582" s="9"/>
    </row>
    <row r="8583" s="2" customFormat="1" ht="30" customHeight="1" spans="1:6">
      <c r="A8583" s="9">
        <v>8580</v>
      </c>
      <c r="B8583" s="10" t="s">
        <v>8086</v>
      </c>
      <c r="C8583" s="10" t="s">
        <v>8087</v>
      </c>
      <c r="D8583" s="10" t="s">
        <v>8201</v>
      </c>
      <c r="E8583" s="10" t="str">
        <f>"644020240515120001181322"</f>
        <v>644020240515120001181322</v>
      </c>
      <c r="F8583" s="9"/>
    </row>
    <row r="8584" s="2" customFormat="1" ht="30" customHeight="1" spans="1:6">
      <c r="A8584" s="9">
        <v>8581</v>
      </c>
      <c r="B8584" s="10" t="s">
        <v>8086</v>
      </c>
      <c r="C8584" s="10" t="s">
        <v>8087</v>
      </c>
      <c r="D8584" s="10" t="s">
        <v>8202</v>
      </c>
      <c r="E8584" s="10" t="str">
        <f>"644020240514122034178878"</f>
        <v>644020240514122034178878</v>
      </c>
      <c r="F8584" s="9"/>
    </row>
    <row r="8585" s="2" customFormat="1" ht="30" customHeight="1" spans="1:6">
      <c r="A8585" s="9">
        <v>8582</v>
      </c>
      <c r="B8585" s="10" t="s">
        <v>8086</v>
      </c>
      <c r="C8585" s="10" t="s">
        <v>8087</v>
      </c>
      <c r="D8585" s="10" t="s">
        <v>8203</v>
      </c>
      <c r="E8585" s="10" t="str">
        <f>"644020240512090031168093"</f>
        <v>644020240512090031168093</v>
      </c>
      <c r="F8585" s="9"/>
    </row>
    <row r="8586" s="2" customFormat="1" ht="30" customHeight="1" spans="1:6">
      <c r="A8586" s="9">
        <v>8583</v>
      </c>
      <c r="B8586" s="10" t="s">
        <v>8086</v>
      </c>
      <c r="C8586" s="10" t="s">
        <v>8087</v>
      </c>
      <c r="D8586" s="10" t="s">
        <v>8204</v>
      </c>
      <c r="E8586" s="10" t="str">
        <f>"644020240516085907182806"</f>
        <v>644020240516085907182806</v>
      </c>
      <c r="F8586" s="9"/>
    </row>
    <row r="8587" s="2" customFormat="1" ht="30" customHeight="1" spans="1:6">
      <c r="A8587" s="9">
        <v>8584</v>
      </c>
      <c r="B8587" s="10" t="s">
        <v>8086</v>
      </c>
      <c r="C8587" s="10" t="s">
        <v>8087</v>
      </c>
      <c r="D8587" s="10" t="s">
        <v>8205</v>
      </c>
      <c r="E8587" s="10" t="str">
        <f>"644020240515233600182582"</f>
        <v>644020240515233600182582</v>
      </c>
      <c r="F8587" s="9"/>
    </row>
    <row r="8588" s="2" customFormat="1" ht="30" customHeight="1" spans="1:6">
      <c r="A8588" s="9">
        <v>8585</v>
      </c>
      <c r="B8588" s="10" t="s">
        <v>8086</v>
      </c>
      <c r="C8588" s="10" t="s">
        <v>8087</v>
      </c>
      <c r="D8588" s="10" t="s">
        <v>8206</v>
      </c>
      <c r="E8588" s="10" t="str">
        <f>"644020240516102915183028"</f>
        <v>644020240516102915183028</v>
      </c>
      <c r="F8588" s="9"/>
    </row>
    <row r="8589" s="2" customFormat="1" ht="30" customHeight="1" spans="1:6">
      <c r="A8589" s="9">
        <v>8586</v>
      </c>
      <c r="B8589" s="10" t="s">
        <v>8086</v>
      </c>
      <c r="C8589" s="10" t="s">
        <v>8087</v>
      </c>
      <c r="D8589" s="10" t="s">
        <v>8207</v>
      </c>
      <c r="E8589" s="10" t="str">
        <f>"644020240516100620182969"</f>
        <v>644020240516100620182969</v>
      </c>
      <c r="F8589" s="9"/>
    </row>
    <row r="8590" s="2" customFormat="1" ht="30" customHeight="1" spans="1:6">
      <c r="A8590" s="9">
        <v>8587</v>
      </c>
      <c r="B8590" s="10" t="s">
        <v>8086</v>
      </c>
      <c r="C8590" s="10" t="s">
        <v>8087</v>
      </c>
      <c r="D8590" s="10" t="s">
        <v>8208</v>
      </c>
      <c r="E8590" s="10" t="str">
        <f>"644020240516080500182740"</f>
        <v>644020240516080500182740</v>
      </c>
      <c r="F8590" s="9"/>
    </row>
    <row r="8591" s="2" customFormat="1" ht="30" customHeight="1" spans="1:6">
      <c r="A8591" s="9">
        <v>8588</v>
      </c>
      <c r="B8591" s="10" t="s">
        <v>8086</v>
      </c>
      <c r="C8591" s="10" t="s">
        <v>8087</v>
      </c>
      <c r="D8591" s="10" t="s">
        <v>8209</v>
      </c>
      <c r="E8591" s="10" t="str">
        <f>"644020240516112525183167"</f>
        <v>644020240516112525183167</v>
      </c>
      <c r="F8591" s="9"/>
    </row>
    <row r="8592" s="2" customFormat="1" ht="30" customHeight="1" spans="1:6">
      <c r="A8592" s="9">
        <v>8589</v>
      </c>
      <c r="B8592" s="10" t="s">
        <v>8086</v>
      </c>
      <c r="C8592" s="10" t="s">
        <v>8087</v>
      </c>
      <c r="D8592" s="10" t="s">
        <v>8210</v>
      </c>
      <c r="E8592" s="10" t="str">
        <f>"644020240515223353182435"</f>
        <v>644020240515223353182435</v>
      </c>
      <c r="F8592" s="9"/>
    </row>
    <row r="8593" s="2" customFormat="1" ht="30" customHeight="1" spans="1:6">
      <c r="A8593" s="9">
        <v>8590</v>
      </c>
      <c r="B8593" s="10" t="s">
        <v>8086</v>
      </c>
      <c r="C8593" s="10" t="s">
        <v>8087</v>
      </c>
      <c r="D8593" s="10" t="s">
        <v>3521</v>
      </c>
      <c r="E8593" s="10" t="str">
        <f>"644020240516005900182676"</f>
        <v>644020240516005900182676</v>
      </c>
      <c r="F8593" s="9"/>
    </row>
    <row r="8594" s="2" customFormat="1" ht="30" customHeight="1" spans="1:6">
      <c r="A8594" s="9">
        <v>8591</v>
      </c>
      <c r="B8594" s="10" t="s">
        <v>8086</v>
      </c>
      <c r="C8594" s="10" t="s">
        <v>8087</v>
      </c>
      <c r="D8594" s="10" t="s">
        <v>8211</v>
      </c>
      <c r="E8594" s="10" t="str">
        <f>"644020240516123229183286"</f>
        <v>644020240516123229183286</v>
      </c>
      <c r="F8594" s="9"/>
    </row>
    <row r="8595" s="2" customFormat="1" ht="30" customHeight="1" spans="1:6">
      <c r="A8595" s="9">
        <v>8592</v>
      </c>
      <c r="B8595" s="10" t="s">
        <v>8086</v>
      </c>
      <c r="C8595" s="10" t="s">
        <v>8087</v>
      </c>
      <c r="D8595" s="10" t="s">
        <v>8212</v>
      </c>
      <c r="E8595" s="10" t="str">
        <f>"644020240516123908183295"</f>
        <v>644020240516123908183295</v>
      </c>
      <c r="F8595" s="9"/>
    </row>
    <row r="8596" s="2" customFormat="1" ht="30" customHeight="1" spans="1:6">
      <c r="A8596" s="9">
        <v>8593</v>
      </c>
      <c r="B8596" s="10" t="s">
        <v>8086</v>
      </c>
      <c r="C8596" s="10" t="s">
        <v>8087</v>
      </c>
      <c r="D8596" s="10" t="s">
        <v>1471</v>
      </c>
      <c r="E8596" s="10" t="str">
        <f>"644020240515101748180999"</f>
        <v>644020240515101748180999</v>
      </c>
      <c r="F8596" s="9"/>
    </row>
    <row r="8597" s="2" customFormat="1" ht="30" customHeight="1" spans="1:6">
      <c r="A8597" s="9">
        <v>8594</v>
      </c>
      <c r="B8597" s="10" t="s">
        <v>8086</v>
      </c>
      <c r="C8597" s="10" t="s">
        <v>8087</v>
      </c>
      <c r="D8597" s="10" t="s">
        <v>8213</v>
      </c>
      <c r="E8597" s="10" t="str">
        <f>"644020240514201424180009"</f>
        <v>644020240514201424180009</v>
      </c>
      <c r="F8597" s="9"/>
    </row>
    <row r="8598" s="2" customFormat="1" ht="30" customHeight="1" spans="1:6">
      <c r="A8598" s="9">
        <v>8595</v>
      </c>
      <c r="B8598" s="10" t="s">
        <v>8086</v>
      </c>
      <c r="C8598" s="10" t="s">
        <v>8087</v>
      </c>
      <c r="D8598" s="10" t="s">
        <v>535</v>
      </c>
      <c r="E8598" s="10" t="str">
        <f>"644020240516110147183105"</f>
        <v>644020240516110147183105</v>
      </c>
      <c r="F8598" s="9"/>
    </row>
    <row r="8599" s="2" customFormat="1" ht="30" customHeight="1" spans="1:6">
      <c r="A8599" s="9">
        <v>8596</v>
      </c>
      <c r="B8599" s="10" t="s">
        <v>8086</v>
      </c>
      <c r="C8599" s="10" t="s">
        <v>8087</v>
      </c>
      <c r="D8599" s="10" t="s">
        <v>8214</v>
      </c>
      <c r="E8599" s="10" t="str">
        <f>"644020240516094322182907"</f>
        <v>644020240516094322182907</v>
      </c>
      <c r="F8599" s="9"/>
    </row>
    <row r="8600" s="2" customFormat="1" ht="30" customHeight="1" spans="1:6">
      <c r="A8600" s="9">
        <v>8597</v>
      </c>
      <c r="B8600" s="10" t="s">
        <v>8086</v>
      </c>
      <c r="C8600" s="10" t="s">
        <v>8087</v>
      </c>
      <c r="D8600" s="10" t="s">
        <v>8215</v>
      </c>
      <c r="E8600" s="10" t="str">
        <f>"644020240516181308183902"</f>
        <v>644020240516181308183902</v>
      </c>
      <c r="F8600" s="9"/>
    </row>
    <row r="8601" s="2" customFormat="1" ht="30" customHeight="1" spans="1:6">
      <c r="A8601" s="9">
        <v>8598</v>
      </c>
      <c r="B8601" s="10" t="s">
        <v>8086</v>
      </c>
      <c r="C8601" s="10" t="s">
        <v>8087</v>
      </c>
      <c r="D8601" s="10" t="s">
        <v>1433</v>
      </c>
      <c r="E8601" s="10" t="str">
        <f>"644020240516182750183926"</f>
        <v>644020240516182750183926</v>
      </c>
      <c r="F8601" s="9"/>
    </row>
    <row r="8602" s="2" customFormat="1" ht="30" customHeight="1" spans="1:6">
      <c r="A8602" s="9">
        <v>8599</v>
      </c>
      <c r="B8602" s="10" t="s">
        <v>8086</v>
      </c>
      <c r="C8602" s="10" t="s">
        <v>8087</v>
      </c>
      <c r="D8602" s="10" t="s">
        <v>8216</v>
      </c>
      <c r="E8602" s="10" t="str">
        <f>"644020240516182023183917"</f>
        <v>644020240516182023183917</v>
      </c>
      <c r="F8602" s="9"/>
    </row>
    <row r="8603" s="2" customFormat="1" ht="30" customHeight="1" spans="1:6">
      <c r="A8603" s="9">
        <v>8600</v>
      </c>
      <c r="B8603" s="10" t="s">
        <v>8086</v>
      </c>
      <c r="C8603" s="10" t="s">
        <v>8087</v>
      </c>
      <c r="D8603" s="10" t="s">
        <v>6746</v>
      </c>
      <c r="E8603" s="10" t="str">
        <f>"644020240516183002183933"</f>
        <v>644020240516183002183933</v>
      </c>
      <c r="F8603" s="9"/>
    </row>
    <row r="8604" s="2" customFormat="1" ht="30" customHeight="1" spans="1:6">
      <c r="A8604" s="9">
        <v>8601</v>
      </c>
      <c r="B8604" s="10" t="s">
        <v>8086</v>
      </c>
      <c r="C8604" s="10" t="s">
        <v>8087</v>
      </c>
      <c r="D8604" s="10" t="s">
        <v>8217</v>
      </c>
      <c r="E8604" s="10" t="str">
        <f>"644020240516180803183894"</f>
        <v>644020240516180803183894</v>
      </c>
      <c r="F8604" s="9"/>
    </row>
    <row r="8605" s="2" customFormat="1" ht="30" customHeight="1" spans="1:6">
      <c r="A8605" s="9">
        <v>8602</v>
      </c>
      <c r="B8605" s="10" t="s">
        <v>8086</v>
      </c>
      <c r="C8605" s="10" t="s">
        <v>8087</v>
      </c>
      <c r="D8605" s="10" t="s">
        <v>8218</v>
      </c>
      <c r="E8605" s="10" t="str">
        <f>"644020240515225913182507"</f>
        <v>644020240515225913182507</v>
      </c>
      <c r="F8605" s="9"/>
    </row>
    <row r="8606" s="2" customFormat="1" ht="30" customHeight="1" spans="1:6">
      <c r="A8606" s="9">
        <v>8603</v>
      </c>
      <c r="B8606" s="10" t="s">
        <v>8086</v>
      </c>
      <c r="C8606" s="10" t="s">
        <v>8087</v>
      </c>
      <c r="D8606" s="10" t="s">
        <v>8219</v>
      </c>
      <c r="E8606" s="10" t="str">
        <f>"644020240512205228170944"</f>
        <v>644020240512205228170944</v>
      </c>
      <c r="F8606" s="9"/>
    </row>
    <row r="8607" s="2" customFormat="1" ht="30" customHeight="1" spans="1:6">
      <c r="A8607" s="9">
        <v>8604</v>
      </c>
      <c r="B8607" s="10" t="s">
        <v>8086</v>
      </c>
      <c r="C8607" s="10" t="s">
        <v>8087</v>
      </c>
      <c r="D8607" s="10" t="s">
        <v>8220</v>
      </c>
      <c r="E8607" s="10" t="str">
        <f>"644020240516202828184054"</f>
        <v>644020240516202828184054</v>
      </c>
      <c r="F8607" s="9"/>
    </row>
    <row r="8608" s="2" customFormat="1" ht="30" customHeight="1" spans="1:6">
      <c r="A8608" s="9">
        <v>8605</v>
      </c>
      <c r="B8608" s="10" t="s">
        <v>8086</v>
      </c>
      <c r="C8608" s="10" t="s">
        <v>8087</v>
      </c>
      <c r="D8608" s="10" t="s">
        <v>6913</v>
      </c>
      <c r="E8608" s="10" t="str">
        <f>"644020240512230416171703"</f>
        <v>644020240512230416171703</v>
      </c>
      <c r="F8608" s="9"/>
    </row>
    <row r="8609" s="2" customFormat="1" ht="30" customHeight="1" spans="1:6">
      <c r="A8609" s="9">
        <v>8606</v>
      </c>
      <c r="B8609" s="10" t="s">
        <v>8086</v>
      </c>
      <c r="C8609" s="10" t="s">
        <v>8087</v>
      </c>
      <c r="D8609" s="10" t="s">
        <v>8221</v>
      </c>
      <c r="E8609" s="10" t="str">
        <f>"644020240514170916179640"</f>
        <v>644020240514170916179640</v>
      </c>
      <c r="F8609" s="9"/>
    </row>
    <row r="8610" s="2" customFormat="1" ht="30" customHeight="1" spans="1:6">
      <c r="A8610" s="9">
        <v>8607</v>
      </c>
      <c r="B8610" s="10" t="s">
        <v>8086</v>
      </c>
      <c r="C8610" s="10" t="s">
        <v>8087</v>
      </c>
      <c r="D8610" s="10" t="s">
        <v>8222</v>
      </c>
      <c r="E8610" s="10" t="str">
        <f>"644020240516214841184187"</f>
        <v>644020240516214841184187</v>
      </c>
      <c r="F8610" s="9"/>
    </row>
    <row r="8611" s="2" customFormat="1" ht="30" customHeight="1" spans="1:6">
      <c r="A8611" s="9">
        <v>8608</v>
      </c>
      <c r="B8611" s="10" t="s">
        <v>8086</v>
      </c>
      <c r="C8611" s="10" t="s">
        <v>8087</v>
      </c>
      <c r="D8611" s="10" t="s">
        <v>8223</v>
      </c>
      <c r="E8611" s="10" t="str">
        <f>"644020240516224341184324"</f>
        <v>644020240516224341184324</v>
      </c>
      <c r="F8611" s="9"/>
    </row>
    <row r="8612" s="2" customFormat="1" ht="30" customHeight="1" spans="1:6">
      <c r="A8612" s="9">
        <v>8609</v>
      </c>
      <c r="B8612" s="10" t="s">
        <v>8086</v>
      </c>
      <c r="C8612" s="10" t="s">
        <v>8087</v>
      </c>
      <c r="D8612" s="10" t="s">
        <v>8224</v>
      </c>
      <c r="E8612" s="10" t="str">
        <f>"644020240515103508181067"</f>
        <v>644020240515103508181067</v>
      </c>
      <c r="F8612" s="9"/>
    </row>
    <row r="8613" s="2" customFormat="1" ht="30" customHeight="1" spans="1:6">
      <c r="A8613" s="9">
        <v>8610</v>
      </c>
      <c r="B8613" s="10" t="s">
        <v>8086</v>
      </c>
      <c r="C8613" s="10" t="s">
        <v>8087</v>
      </c>
      <c r="D8613" s="10" t="s">
        <v>8225</v>
      </c>
      <c r="E8613" s="10" t="str">
        <f>"644020240513164828176039"</f>
        <v>644020240513164828176039</v>
      </c>
      <c r="F8613" s="9"/>
    </row>
    <row r="8614" s="2" customFormat="1" ht="30" customHeight="1" spans="1:6">
      <c r="A8614" s="9">
        <v>8611</v>
      </c>
      <c r="B8614" s="10" t="s">
        <v>8086</v>
      </c>
      <c r="C8614" s="10" t="s">
        <v>8087</v>
      </c>
      <c r="D8614" s="10" t="s">
        <v>8226</v>
      </c>
      <c r="E8614" s="10" t="str">
        <f>"644020240517085143184670"</f>
        <v>644020240517085143184670</v>
      </c>
      <c r="F8614" s="9"/>
    </row>
    <row r="8615" s="2" customFormat="1" ht="30" customHeight="1" spans="1:6">
      <c r="A8615" s="9">
        <v>8612</v>
      </c>
      <c r="B8615" s="10" t="s">
        <v>8086</v>
      </c>
      <c r="C8615" s="10" t="s">
        <v>8087</v>
      </c>
      <c r="D8615" s="10" t="s">
        <v>8227</v>
      </c>
      <c r="E8615" s="10" t="str">
        <f>"644020240517090905184704"</f>
        <v>644020240517090905184704</v>
      </c>
      <c r="F8615" s="9"/>
    </row>
    <row r="8616" s="2" customFormat="1" ht="30" customHeight="1" spans="1:6">
      <c r="A8616" s="9">
        <v>8613</v>
      </c>
      <c r="B8616" s="10" t="s">
        <v>8086</v>
      </c>
      <c r="C8616" s="10" t="s">
        <v>8087</v>
      </c>
      <c r="D8616" s="10" t="s">
        <v>8228</v>
      </c>
      <c r="E8616" s="10" t="str">
        <f>"644020240517091611184715"</f>
        <v>644020240517091611184715</v>
      </c>
      <c r="F8616" s="9"/>
    </row>
    <row r="8617" s="2" customFormat="1" ht="30" customHeight="1" spans="1:6">
      <c r="A8617" s="9">
        <v>8614</v>
      </c>
      <c r="B8617" s="10" t="s">
        <v>8086</v>
      </c>
      <c r="C8617" s="10" t="s">
        <v>8087</v>
      </c>
      <c r="D8617" s="10" t="s">
        <v>8229</v>
      </c>
      <c r="E8617" s="10" t="str">
        <f>"644020240515230433182517"</f>
        <v>644020240515230433182517</v>
      </c>
      <c r="F8617" s="9"/>
    </row>
    <row r="8618" s="2" customFormat="1" ht="30" customHeight="1" spans="1:6">
      <c r="A8618" s="9">
        <v>8615</v>
      </c>
      <c r="B8618" s="10" t="s">
        <v>8086</v>
      </c>
      <c r="C8618" s="10" t="s">
        <v>8087</v>
      </c>
      <c r="D8618" s="10" t="s">
        <v>8230</v>
      </c>
      <c r="E8618" s="10" t="str">
        <f>"644020240515162926181854"</f>
        <v>644020240515162926181854</v>
      </c>
      <c r="F8618" s="9"/>
    </row>
    <row r="8619" s="2" customFormat="1" ht="30" customHeight="1" spans="1:6">
      <c r="A8619" s="9">
        <v>8616</v>
      </c>
      <c r="B8619" s="10" t="s">
        <v>8086</v>
      </c>
      <c r="C8619" s="10" t="s">
        <v>8087</v>
      </c>
      <c r="D8619" s="10" t="s">
        <v>8231</v>
      </c>
      <c r="E8619" s="10" t="str">
        <f>"644020240517090907184705"</f>
        <v>644020240517090907184705</v>
      </c>
      <c r="F8619" s="9"/>
    </row>
    <row r="8620" s="2" customFormat="1" ht="30" customHeight="1" spans="1:6">
      <c r="A8620" s="9">
        <v>8617</v>
      </c>
      <c r="B8620" s="10" t="s">
        <v>8086</v>
      </c>
      <c r="C8620" s="10" t="s">
        <v>8087</v>
      </c>
      <c r="D8620" s="10" t="s">
        <v>8232</v>
      </c>
      <c r="E8620" s="10" t="str">
        <f>"644020240516165126183742"</f>
        <v>644020240516165126183742</v>
      </c>
      <c r="F8620" s="9"/>
    </row>
    <row r="8621" s="2" customFormat="1" ht="30" customHeight="1" spans="1:6">
      <c r="A8621" s="9">
        <v>8618</v>
      </c>
      <c r="B8621" s="10" t="s">
        <v>8086</v>
      </c>
      <c r="C8621" s="10" t="s">
        <v>8087</v>
      </c>
      <c r="D8621" s="10" t="s">
        <v>2678</v>
      </c>
      <c r="E8621" s="10" t="str">
        <f>"644020240517110658184966"</f>
        <v>644020240517110658184966</v>
      </c>
      <c r="F8621" s="9"/>
    </row>
    <row r="8622" s="2" customFormat="1" ht="30" customHeight="1" spans="1:6">
      <c r="A8622" s="9">
        <v>8619</v>
      </c>
      <c r="B8622" s="10" t="s">
        <v>8086</v>
      </c>
      <c r="C8622" s="10" t="s">
        <v>8087</v>
      </c>
      <c r="D8622" s="10" t="s">
        <v>8233</v>
      </c>
      <c r="E8622" s="10" t="str">
        <f>"644020240515152305181675"</f>
        <v>644020240515152305181675</v>
      </c>
      <c r="F8622" s="9"/>
    </row>
    <row r="8623" s="2" customFormat="1" ht="30" customHeight="1" spans="1:6">
      <c r="A8623" s="9">
        <v>8620</v>
      </c>
      <c r="B8623" s="10" t="s">
        <v>8086</v>
      </c>
      <c r="C8623" s="10" t="s">
        <v>8087</v>
      </c>
      <c r="D8623" s="10" t="s">
        <v>8234</v>
      </c>
      <c r="E8623" s="10" t="str">
        <f>"644020240517124340185162"</f>
        <v>644020240517124340185162</v>
      </c>
      <c r="F8623" s="9"/>
    </row>
    <row r="8624" s="2" customFormat="1" ht="30" customHeight="1" spans="1:6">
      <c r="A8624" s="9">
        <v>8621</v>
      </c>
      <c r="B8624" s="10" t="s">
        <v>8086</v>
      </c>
      <c r="C8624" s="10" t="s">
        <v>8087</v>
      </c>
      <c r="D8624" s="10" t="s">
        <v>8235</v>
      </c>
      <c r="E8624" s="10" t="str">
        <f>"644020240517125557185192"</f>
        <v>644020240517125557185192</v>
      </c>
      <c r="F8624" s="9"/>
    </row>
    <row r="8625" s="2" customFormat="1" ht="30" customHeight="1" spans="1:6">
      <c r="A8625" s="9">
        <v>8622</v>
      </c>
      <c r="B8625" s="10" t="s">
        <v>8086</v>
      </c>
      <c r="C8625" s="10" t="s">
        <v>8087</v>
      </c>
      <c r="D8625" s="10" t="s">
        <v>8236</v>
      </c>
      <c r="E8625" s="10" t="str">
        <f>"644020240516225509184349"</f>
        <v>644020240516225509184349</v>
      </c>
      <c r="F8625" s="9"/>
    </row>
    <row r="8626" s="2" customFormat="1" ht="30" customHeight="1" spans="1:6">
      <c r="A8626" s="9">
        <v>8623</v>
      </c>
      <c r="B8626" s="10" t="s">
        <v>8086</v>
      </c>
      <c r="C8626" s="10" t="s">
        <v>8087</v>
      </c>
      <c r="D8626" s="10" t="s">
        <v>8237</v>
      </c>
      <c r="E8626" s="10" t="str">
        <f>"644020240516214514184180"</f>
        <v>644020240516214514184180</v>
      </c>
      <c r="F8626" s="9"/>
    </row>
    <row r="8627" s="2" customFormat="1" ht="30" customHeight="1" spans="1:6">
      <c r="A8627" s="9">
        <v>8624</v>
      </c>
      <c r="B8627" s="10" t="s">
        <v>8086</v>
      </c>
      <c r="C8627" s="10" t="s">
        <v>8087</v>
      </c>
      <c r="D8627" s="10" t="s">
        <v>8238</v>
      </c>
      <c r="E8627" s="10" t="str">
        <f>"644020240517132708185258"</f>
        <v>644020240517132708185258</v>
      </c>
      <c r="F8627" s="9"/>
    </row>
    <row r="8628" s="2" customFormat="1" ht="30" customHeight="1" spans="1:6">
      <c r="A8628" s="9">
        <v>8625</v>
      </c>
      <c r="B8628" s="10" t="s">
        <v>8086</v>
      </c>
      <c r="C8628" s="10" t="s">
        <v>8087</v>
      </c>
      <c r="D8628" s="10" t="s">
        <v>8239</v>
      </c>
      <c r="E8628" s="10" t="str">
        <f>"644020240517135231185299"</f>
        <v>644020240517135231185299</v>
      </c>
      <c r="F8628" s="9"/>
    </row>
    <row r="8629" s="2" customFormat="1" ht="30" customHeight="1" spans="1:6">
      <c r="A8629" s="9">
        <v>8626</v>
      </c>
      <c r="B8629" s="10" t="s">
        <v>8086</v>
      </c>
      <c r="C8629" s="10" t="s">
        <v>8087</v>
      </c>
      <c r="D8629" s="10" t="s">
        <v>8240</v>
      </c>
      <c r="E8629" s="10" t="str">
        <f>"644020240517133619185273"</f>
        <v>644020240517133619185273</v>
      </c>
      <c r="F8629" s="9"/>
    </row>
    <row r="8630" s="2" customFormat="1" ht="30" customHeight="1" spans="1:6">
      <c r="A8630" s="9">
        <v>8627</v>
      </c>
      <c r="B8630" s="10" t="s">
        <v>8086</v>
      </c>
      <c r="C8630" s="10" t="s">
        <v>8087</v>
      </c>
      <c r="D8630" s="10" t="s">
        <v>8241</v>
      </c>
      <c r="E8630" s="10" t="str">
        <f>"644020240513095907173111"</f>
        <v>644020240513095907173111</v>
      </c>
      <c r="F8630" s="9"/>
    </row>
    <row r="8631" s="2" customFormat="1" ht="30" customHeight="1" spans="1:6">
      <c r="A8631" s="9">
        <v>8628</v>
      </c>
      <c r="B8631" s="10" t="s">
        <v>8086</v>
      </c>
      <c r="C8631" s="10" t="s">
        <v>8087</v>
      </c>
      <c r="D8631" s="10" t="s">
        <v>8242</v>
      </c>
      <c r="E8631" s="10" t="str">
        <f>"644020240517114723185055"</f>
        <v>644020240517114723185055</v>
      </c>
      <c r="F8631" s="9"/>
    </row>
    <row r="8632" s="2" customFormat="1" ht="30" customHeight="1" spans="1:6">
      <c r="A8632" s="9">
        <v>8629</v>
      </c>
      <c r="B8632" s="10" t="s">
        <v>8086</v>
      </c>
      <c r="C8632" s="10" t="s">
        <v>8087</v>
      </c>
      <c r="D8632" s="10" t="s">
        <v>8243</v>
      </c>
      <c r="E8632" s="10" t="str">
        <f>"644020240517152925185508"</f>
        <v>644020240517152925185508</v>
      </c>
      <c r="F8632" s="9"/>
    </row>
    <row r="8633" s="2" customFormat="1" ht="30" customHeight="1" spans="1:6">
      <c r="A8633" s="9">
        <v>8630</v>
      </c>
      <c r="B8633" s="10" t="s">
        <v>8086</v>
      </c>
      <c r="C8633" s="10" t="s">
        <v>8087</v>
      </c>
      <c r="D8633" s="10" t="s">
        <v>8244</v>
      </c>
      <c r="E8633" s="10" t="str">
        <f>"644020240517153950185537"</f>
        <v>644020240517153950185537</v>
      </c>
      <c r="F8633" s="9"/>
    </row>
    <row r="8634" s="2" customFormat="1" ht="30" customHeight="1" spans="1:6">
      <c r="A8634" s="9">
        <v>8631</v>
      </c>
      <c r="B8634" s="10" t="s">
        <v>8086</v>
      </c>
      <c r="C8634" s="10" t="s">
        <v>8087</v>
      </c>
      <c r="D8634" s="10" t="s">
        <v>8245</v>
      </c>
      <c r="E8634" s="10" t="str">
        <f>"644020240516222208184275"</f>
        <v>644020240516222208184275</v>
      </c>
      <c r="F8634" s="9"/>
    </row>
    <row r="8635" s="2" customFormat="1" ht="30" customHeight="1" spans="1:6">
      <c r="A8635" s="9">
        <v>8632</v>
      </c>
      <c r="B8635" s="10" t="s">
        <v>8086</v>
      </c>
      <c r="C8635" s="10" t="s">
        <v>8087</v>
      </c>
      <c r="D8635" s="10" t="s">
        <v>8246</v>
      </c>
      <c r="E8635" s="10" t="str">
        <f>"644020240517171924185729"</f>
        <v>644020240517171924185729</v>
      </c>
      <c r="F8635" s="9"/>
    </row>
    <row r="8636" s="2" customFormat="1" ht="30" customHeight="1" spans="1:6">
      <c r="A8636" s="9">
        <v>8633</v>
      </c>
      <c r="B8636" s="10" t="s">
        <v>8086</v>
      </c>
      <c r="C8636" s="10" t="s">
        <v>8087</v>
      </c>
      <c r="D8636" s="10" t="s">
        <v>8247</v>
      </c>
      <c r="E8636" s="10" t="str">
        <f>"644020240517173523185749"</f>
        <v>644020240517173523185749</v>
      </c>
      <c r="F8636" s="9"/>
    </row>
    <row r="8637" s="2" customFormat="1" ht="30" customHeight="1" spans="1:6">
      <c r="A8637" s="9">
        <v>8634</v>
      </c>
      <c r="B8637" s="10" t="s">
        <v>8086</v>
      </c>
      <c r="C8637" s="10" t="s">
        <v>8087</v>
      </c>
      <c r="D8637" s="10" t="s">
        <v>4661</v>
      </c>
      <c r="E8637" s="10" t="str">
        <f>"644020240517172440185734"</f>
        <v>644020240517172440185734</v>
      </c>
      <c r="F8637" s="9"/>
    </row>
    <row r="8638" s="2" customFormat="1" ht="30" customHeight="1" spans="1:6">
      <c r="A8638" s="9">
        <v>8635</v>
      </c>
      <c r="B8638" s="10" t="s">
        <v>8086</v>
      </c>
      <c r="C8638" s="10" t="s">
        <v>8087</v>
      </c>
      <c r="D8638" s="10" t="s">
        <v>8248</v>
      </c>
      <c r="E8638" s="10" t="str">
        <f>"644020240517174241185763"</f>
        <v>644020240517174241185763</v>
      </c>
      <c r="F8638" s="9"/>
    </row>
    <row r="8639" s="2" customFormat="1" ht="30" customHeight="1" spans="1:6">
      <c r="A8639" s="9">
        <v>8636</v>
      </c>
      <c r="B8639" s="10" t="s">
        <v>8086</v>
      </c>
      <c r="C8639" s="10" t="s">
        <v>8087</v>
      </c>
      <c r="D8639" s="10" t="s">
        <v>8249</v>
      </c>
      <c r="E8639" s="10" t="str">
        <f>"644020240516121747183254"</f>
        <v>644020240516121747183254</v>
      </c>
      <c r="F8639" s="9"/>
    </row>
    <row r="8640" s="2" customFormat="1" ht="30" customHeight="1" spans="1:6">
      <c r="A8640" s="9">
        <v>8637</v>
      </c>
      <c r="B8640" s="10" t="s">
        <v>8086</v>
      </c>
      <c r="C8640" s="10" t="s">
        <v>8087</v>
      </c>
      <c r="D8640" s="10" t="s">
        <v>8250</v>
      </c>
      <c r="E8640" s="10" t="str">
        <f>"644020240516191807183999"</f>
        <v>644020240516191807183999</v>
      </c>
      <c r="F8640" s="9"/>
    </row>
    <row r="8641" s="2" customFormat="1" ht="30" customHeight="1" spans="1:6">
      <c r="A8641" s="9">
        <v>8638</v>
      </c>
      <c r="B8641" s="10" t="s">
        <v>8086</v>
      </c>
      <c r="C8641" s="10" t="s">
        <v>8087</v>
      </c>
      <c r="D8641" s="10" t="s">
        <v>8251</v>
      </c>
      <c r="E8641" s="10" t="str">
        <f>"644020240516222025184270"</f>
        <v>644020240516222025184270</v>
      </c>
      <c r="F8641" s="9"/>
    </row>
    <row r="8642" s="2" customFormat="1" ht="30" customHeight="1" spans="1:6">
      <c r="A8642" s="9">
        <v>8639</v>
      </c>
      <c r="B8642" s="10" t="s">
        <v>8086</v>
      </c>
      <c r="C8642" s="10" t="s">
        <v>8087</v>
      </c>
      <c r="D8642" s="10" t="s">
        <v>8252</v>
      </c>
      <c r="E8642" s="10" t="str">
        <f>"644020240517210417185951"</f>
        <v>644020240517210417185951</v>
      </c>
      <c r="F8642" s="9"/>
    </row>
    <row r="8643" s="2" customFormat="1" ht="30" customHeight="1" spans="1:6">
      <c r="A8643" s="9">
        <v>8640</v>
      </c>
      <c r="B8643" s="10" t="s">
        <v>8086</v>
      </c>
      <c r="C8643" s="10" t="s">
        <v>8087</v>
      </c>
      <c r="D8643" s="10" t="s">
        <v>8253</v>
      </c>
      <c r="E8643" s="10" t="str">
        <f>"644020240513162210175901"</f>
        <v>644020240513162210175901</v>
      </c>
      <c r="F8643" s="9"/>
    </row>
    <row r="8644" s="2" customFormat="1" ht="30" customHeight="1" spans="1:6">
      <c r="A8644" s="9">
        <v>8641</v>
      </c>
      <c r="B8644" s="10" t="s">
        <v>8086</v>
      </c>
      <c r="C8644" s="10" t="s">
        <v>8087</v>
      </c>
      <c r="D8644" s="10" t="s">
        <v>8254</v>
      </c>
      <c r="E8644" s="10" t="str">
        <f>"644020240517105210184929"</f>
        <v>644020240517105210184929</v>
      </c>
      <c r="F8644" s="9"/>
    </row>
    <row r="8645" s="2" customFormat="1" ht="30" customHeight="1" spans="1:6">
      <c r="A8645" s="9">
        <v>8642</v>
      </c>
      <c r="B8645" s="10" t="s">
        <v>8086</v>
      </c>
      <c r="C8645" s="10" t="s">
        <v>8087</v>
      </c>
      <c r="D8645" s="10" t="s">
        <v>6072</v>
      </c>
      <c r="E8645" s="10" t="str">
        <f>"644020240517195655185926"</f>
        <v>644020240517195655185926</v>
      </c>
      <c r="F8645" s="9"/>
    </row>
    <row r="8646" s="2" customFormat="1" ht="30" customHeight="1" spans="1:6">
      <c r="A8646" s="9">
        <v>8643</v>
      </c>
      <c r="B8646" s="10" t="s">
        <v>8086</v>
      </c>
      <c r="C8646" s="10" t="s">
        <v>8087</v>
      </c>
      <c r="D8646" s="10" t="s">
        <v>8255</v>
      </c>
      <c r="E8646" s="10" t="str">
        <f>"644020240517144701185391"</f>
        <v>644020240517144701185391</v>
      </c>
      <c r="F8646" s="9"/>
    </row>
    <row r="8647" s="2" customFormat="1" ht="30" customHeight="1" spans="1:6">
      <c r="A8647" s="9">
        <v>8644</v>
      </c>
      <c r="B8647" s="10" t="s">
        <v>8086</v>
      </c>
      <c r="C8647" s="10" t="s">
        <v>8087</v>
      </c>
      <c r="D8647" s="10" t="s">
        <v>8256</v>
      </c>
      <c r="E8647" s="10" t="str">
        <f>"644020240515124159181389"</f>
        <v>644020240515124159181389</v>
      </c>
      <c r="F8647" s="9"/>
    </row>
    <row r="8648" s="2" customFormat="1" ht="30" customHeight="1" spans="1:6">
      <c r="A8648" s="9">
        <v>8645</v>
      </c>
      <c r="B8648" s="10" t="s">
        <v>8086</v>
      </c>
      <c r="C8648" s="10" t="s">
        <v>8087</v>
      </c>
      <c r="D8648" s="10" t="s">
        <v>8257</v>
      </c>
      <c r="E8648" s="10" t="str">
        <f>"644020240517175518185785"</f>
        <v>644020240517175518185785</v>
      </c>
      <c r="F8648" s="9"/>
    </row>
    <row r="8649" s="2" customFormat="1" ht="30" customHeight="1" spans="1:6">
      <c r="A8649" s="9">
        <v>8646</v>
      </c>
      <c r="B8649" s="10" t="s">
        <v>8086</v>
      </c>
      <c r="C8649" s="10" t="s">
        <v>8087</v>
      </c>
      <c r="D8649" s="10" t="s">
        <v>8258</v>
      </c>
      <c r="E8649" s="10" t="str">
        <f>"644020240517232221186083"</f>
        <v>644020240517232221186083</v>
      </c>
      <c r="F8649" s="9"/>
    </row>
    <row r="8650" s="2" customFormat="1" ht="30" customHeight="1" spans="1:6">
      <c r="A8650" s="9">
        <v>8647</v>
      </c>
      <c r="B8650" s="10" t="s">
        <v>8086</v>
      </c>
      <c r="C8650" s="10" t="s">
        <v>8087</v>
      </c>
      <c r="D8650" s="10" t="s">
        <v>8259</v>
      </c>
      <c r="E8650" s="10" t="str">
        <f>"644020240514220315180306"</f>
        <v>644020240514220315180306</v>
      </c>
      <c r="F8650" s="9"/>
    </row>
    <row r="8651" s="2" customFormat="1" ht="30" customHeight="1" spans="1:6">
      <c r="A8651" s="9">
        <v>8648</v>
      </c>
      <c r="B8651" s="10" t="s">
        <v>8086</v>
      </c>
      <c r="C8651" s="10" t="s">
        <v>8087</v>
      </c>
      <c r="D8651" s="10" t="s">
        <v>8260</v>
      </c>
      <c r="E8651" s="10" t="str">
        <f>"644020240518001335186167"</f>
        <v>644020240518001335186167</v>
      </c>
      <c r="F8651" s="9"/>
    </row>
    <row r="8652" s="2" customFormat="1" ht="30" customHeight="1" spans="1:6">
      <c r="A8652" s="9">
        <v>8649</v>
      </c>
      <c r="B8652" s="10" t="s">
        <v>8086</v>
      </c>
      <c r="C8652" s="10" t="s">
        <v>8087</v>
      </c>
      <c r="D8652" s="10" t="s">
        <v>8261</v>
      </c>
      <c r="E8652" s="10" t="str">
        <f>"644020240518001455186172"</f>
        <v>644020240518001455186172</v>
      </c>
      <c r="F8652" s="9"/>
    </row>
    <row r="8653" s="2" customFormat="1" ht="30" customHeight="1" spans="1:6">
      <c r="A8653" s="9">
        <v>8650</v>
      </c>
      <c r="B8653" s="10" t="s">
        <v>8086</v>
      </c>
      <c r="C8653" s="10" t="s">
        <v>8087</v>
      </c>
      <c r="D8653" s="10" t="s">
        <v>8262</v>
      </c>
      <c r="E8653" s="10" t="str">
        <f>"644020240518005929186228"</f>
        <v>644020240518005929186228</v>
      </c>
      <c r="F8653" s="9"/>
    </row>
    <row r="8654" s="2" customFormat="1" ht="30" customHeight="1" spans="1:6">
      <c r="A8654" s="9">
        <v>8651</v>
      </c>
      <c r="B8654" s="10" t="s">
        <v>8086</v>
      </c>
      <c r="C8654" s="10" t="s">
        <v>8087</v>
      </c>
      <c r="D8654" s="10" t="s">
        <v>8263</v>
      </c>
      <c r="E8654" s="10" t="str">
        <f>"644020240517234454186124"</f>
        <v>644020240517234454186124</v>
      </c>
      <c r="F8654" s="9"/>
    </row>
    <row r="8655" s="2" customFormat="1" ht="30" customHeight="1" spans="1:6">
      <c r="A8655" s="9">
        <v>8652</v>
      </c>
      <c r="B8655" s="10" t="s">
        <v>8086</v>
      </c>
      <c r="C8655" s="10" t="s">
        <v>8087</v>
      </c>
      <c r="D8655" s="10" t="s">
        <v>1356</v>
      </c>
      <c r="E8655" s="10" t="str">
        <f>"644020240517234721186136"</f>
        <v>644020240517234721186136</v>
      </c>
      <c r="F8655" s="9"/>
    </row>
    <row r="8656" s="2" customFormat="1" ht="30" customHeight="1" spans="1:6">
      <c r="A8656" s="9">
        <v>8653</v>
      </c>
      <c r="B8656" s="10" t="s">
        <v>8086</v>
      </c>
      <c r="C8656" s="10" t="s">
        <v>8087</v>
      </c>
      <c r="D8656" s="10" t="s">
        <v>8264</v>
      </c>
      <c r="E8656" s="10" t="str">
        <f>"644020240518083442186410"</f>
        <v>644020240518083442186410</v>
      </c>
      <c r="F8656" s="9"/>
    </row>
    <row r="8657" s="2" customFormat="1" ht="30" customHeight="1" spans="1:6">
      <c r="A8657" s="9">
        <v>8654</v>
      </c>
      <c r="B8657" s="10" t="s">
        <v>8086</v>
      </c>
      <c r="C8657" s="10" t="s">
        <v>8087</v>
      </c>
      <c r="D8657" s="10" t="s">
        <v>8265</v>
      </c>
      <c r="E8657" s="10" t="str">
        <f>"644020240518090223186449"</f>
        <v>644020240518090223186449</v>
      </c>
      <c r="F8657" s="9"/>
    </row>
    <row r="8658" s="2" customFormat="1" ht="30" customHeight="1" spans="1:6">
      <c r="A8658" s="9">
        <v>8655</v>
      </c>
      <c r="B8658" s="10" t="s">
        <v>8086</v>
      </c>
      <c r="C8658" s="10" t="s">
        <v>8087</v>
      </c>
      <c r="D8658" s="10" t="s">
        <v>8266</v>
      </c>
      <c r="E8658" s="10" t="str">
        <f>"644020240518085136186428"</f>
        <v>644020240518085136186428</v>
      </c>
      <c r="F8658" s="9"/>
    </row>
    <row r="8659" s="2" customFormat="1" ht="30" customHeight="1" spans="1:6">
      <c r="A8659" s="9">
        <v>8656</v>
      </c>
      <c r="B8659" s="10" t="s">
        <v>8086</v>
      </c>
      <c r="C8659" s="10" t="s">
        <v>8087</v>
      </c>
      <c r="D8659" s="10" t="s">
        <v>8267</v>
      </c>
      <c r="E8659" s="10" t="str">
        <f>"644020240516102641183020"</f>
        <v>644020240516102641183020</v>
      </c>
      <c r="F8659" s="9"/>
    </row>
    <row r="8660" s="2" customFormat="1" ht="30" customHeight="1" spans="1:6">
      <c r="A8660" s="9">
        <v>8657</v>
      </c>
      <c r="B8660" s="10" t="s">
        <v>8086</v>
      </c>
      <c r="C8660" s="10" t="s">
        <v>8087</v>
      </c>
      <c r="D8660" s="10" t="s">
        <v>8268</v>
      </c>
      <c r="E8660" s="10" t="str">
        <f>"644020240518101837186617"</f>
        <v>644020240518101837186617</v>
      </c>
      <c r="F8660" s="9"/>
    </row>
    <row r="8661" s="2" customFormat="1" ht="30" customHeight="1" spans="1:6">
      <c r="A8661" s="9">
        <v>8658</v>
      </c>
      <c r="B8661" s="10" t="s">
        <v>8086</v>
      </c>
      <c r="C8661" s="10" t="s">
        <v>8087</v>
      </c>
      <c r="D8661" s="10" t="s">
        <v>8269</v>
      </c>
      <c r="E8661" s="10" t="str">
        <f>"644020240518084825186425"</f>
        <v>644020240518084825186425</v>
      </c>
      <c r="F8661" s="9"/>
    </row>
    <row r="8662" s="2" customFormat="1" ht="30" customHeight="1" spans="1:6">
      <c r="A8662" s="9">
        <v>8659</v>
      </c>
      <c r="B8662" s="10" t="s">
        <v>8086</v>
      </c>
      <c r="C8662" s="10" t="s">
        <v>8087</v>
      </c>
      <c r="D8662" s="10" t="s">
        <v>8270</v>
      </c>
      <c r="E8662" s="10" t="str">
        <f>"644020240517223443186069"</f>
        <v>644020240517223443186069</v>
      </c>
      <c r="F8662" s="9"/>
    </row>
    <row r="8663" s="2" customFormat="1" ht="30" customHeight="1" spans="1:6">
      <c r="A8663" s="9">
        <v>8660</v>
      </c>
      <c r="B8663" s="10" t="s">
        <v>8086</v>
      </c>
      <c r="C8663" s="10" t="s">
        <v>8087</v>
      </c>
      <c r="D8663" s="10" t="s">
        <v>8271</v>
      </c>
      <c r="E8663" s="10" t="str">
        <f>"644020240518102531186635"</f>
        <v>644020240518102531186635</v>
      </c>
      <c r="F8663" s="9"/>
    </row>
    <row r="8664" s="2" customFormat="1" ht="30" customHeight="1" spans="1:6">
      <c r="A8664" s="9">
        <v>8661</v>
      </c>
      <c r="B8664" s="10" t="s">
        <v>8086</v>
      </c>
      <c r="C8664" s="10" t="s">
        <v>8087</v>
      </c>
      <c r="D8664" s="10" t="s">
        <v>8272</v>
      </c>
      <c r="E8664" s="10" t="str">
        <f>"644020240517183536185842"</f>
        <v>644020240517183536185842</v>
      </c>
      <c r="F8664" s="9"/>
    </row>
    <row r="8665" s="2" customFormat="1" ht="30" customHeight="1" spans="1:6">
      <c r="A8665" s="9">
        <v>8662</v>
      </c>
      <c r="B8665" s="10" t="s">
        <v>8086</v>
      </c>
      <c r="C8665" s="10" t="s">
        <v>8087</v>
      </c>
      <c r="D8665" s="10" t="s">
        <v>8273</v>
      </c>
      <c r="E8665" s="10" t="str">
        <f>"644020240518093558186514"</f>
        <v>644020240518093558186514</v>
      </c>
      <c r="F8665" s="9"/>
    </row>
    <row r="8666" s="2" customFormat="1" ht="30" customHeight="1" spans="1:6">
      <c r="A8666" s="9">
        <v>8663</v>
      </c>
      <c r="B8666" s="10" t="s">
        <v>8086</v>
      </c>
      <c r="C8666" s="10" t="s">
        <v>8087</v>
      </c>
      <c r="D8666" s="10" t="s">
        <v>8274</v>
      </c>
      <c r="E8666" s="10" t="str">
        <f>"644020240518095239186558"</f>
        <v>644020240518095239186558</v>
      </c>
      <c r="F8666" s="9"/>
    </row>
    <row r="8667" s="2" customFormat="1" ht="30" customHeight="1" spans="1:6">
      <c r="A8667" s="9">
        <v>8664</v>
      </c>
      <c r="B8667" s="10" t="s">
        <v>8086</v>
      </c>
      <c r="C8667" s="10" t="s">
        <v>8087</v>
      </c>
      <c r="D8667" s="10" t="s">
        <v>8275</v>
      </c>
      <c r="E8667" s="10" t="str">
        <f>"644020240516152724183549"</f>
        <v>644020240516152724183549</v>
      </c>
      <c r="F8667" s="9"/>
    </row>
    <row r="8668" s="2" customFormat="1" ht="30" customHeight="1" spans="1:6">
      <c r="A8668" s="9">
        <v>8665</v>
      </c>
      <c r="B8668" s="10" t="s">
        <v>8086</v>
      </c>
      <c r="C8668" s="10" t="s">
        <v>8087</v>
      </c>
      <c r="D8668" s="10" t="s">
        <v>8276</v>
      </c>
      <c r="E8668" s="10" t="str">
        <f>"644020240518111611186734"</f>
        <v>644020240518111611186734</v>
      </c>
      <c r="F8668" s="9"/>
    </row>
    <row r="8669" s="2" customFormat="1" ht="30" customHeight="1" spans="1:6">
      <c r="A8669" s="9">
        <v>8666</v>
      </c>
      <c r="B8669" s="10" t="s">
        <v>8086</v>
      </c>
      <c r="C8669" s="10" t="s">
        <v>8087</v>
      </c>
      <c r="D8669" s="10" t="s">
        <v>8277</v>
      </c>
      <c r="E8669" s="10" t="str">
        <f>"644020240518015031186263"</f>
        <v>644020240518015031186263</v>
      </c>
      <c r="F8669" s="9"/>
    </row>
    <row r="8670" s="2" customFormat="1" ht="30" customHeight="1" spans="1:6">
      <c r="A8670" s="9">
        <v>8667</v>
      </c>
      <c r="B8670" s="10" t="s">
        <v>8278</v>
      </c>
      <c r="C8670" s="10" t="s">
        <v>8279</v>
      </c>
      <c r="D8670" s="10" t="s">
        <v>8280</v>
      </c>
      <c r="E8670" s="10" t="str">
        <f>"644020240512133557169383"</f>
        <v>644020240512133557169383</v>
      </c>
      <c r="F8670" s="9"/>
    </row>
    <row r="8671" s="2" customFormat="1" ht="30" customHeight="1" spans="1:6">
      <c r="A8671" s="9">
        <v>8668</v>
      </c>
      <c r="B8671" s="10" t="s">
        <v>8278</v>
      </c>
      <c r="C8671" s="10" t="s">
        <v>8279</v>
      </c>
      <c r="D8671" s="10" t="s">
        <v>8281</v>
      </c>
      <c r="E8671" s="10" t="str">
        <f>"644020240512153735169791"</f>
        <v>644020240512153735169791</v>
      </c>
      <c r="F8671" s="9"/>
    </row>
    <row r="8672" s="2" customFormat="1" ht="30" customHeight="1" spans="1:6">
      <c r="A8672" s="9">
        <v>8669</v>
      </c>
      <c r="B8672" s="10" t="s">
        <v>8278</v>
      </c>
      <c r="C8672" s="10" t="s">
        <v>8279</v>
      </c>
      <c r="D8672" s="10" t="s">
        <v>8282</v>
      </c>
      <c r="E8672" s="10" t="str">
        <f>"644020240512151352169700"</f>
        <v>644020240512151352169700</v>
      </c>
      <c r="F8672" s="9"/>
    </row>
    <row r="8673" s="2" customFormat="1" ht="30" customHeight="1" spans="1:6">
      <c r="A8673" s="9">
        <v>8670</v>
      </c>
      <c r="B8673" s="10" t="s">
        <v>8278</v>
      </c>
      <c r="C8673" s="10" t="s">
        <v>8279</v>
      </c>
      <c r="D8673" s="10" t="s">
        <v>8283</v>
      </c>
      <c r="E8673" s="10" t="str">
        <f>"644020240512200626170733"</f>
        <v>644020240512200626170733</v>
      </c>
      <c r="F8673" s="9"/>
    </row>
    <row r="8674" s="2" customFormat="1" ht="30" customHeight="1" spans="1:6">
      <c r="A8674" s="9">
        <v>8671</v>
      </c>
      <c r="B8674" s="10" t="s">
        <v>8278</v>
      </c>
      <c r="C8674" s="10" t="s">
        <v>8279</v>
      </c>
      <c r="D8674" s="10" t="s">
        <v>8284</v>
      </c>
      <c r="E8674" s="10" t="str">
        <f>"644020240512233153171827"</f>
        <v>644020240512233153171827</v>
      </c>
      <c r="F8674" s="9"/>
    </row>
    <row r="8675" s="2" customFormat="1" ht="30" customHeight="1" spans="1:6">
      <c r="A8675" s="9">
        <v>8672</v>
      </c>
      <c r="B8675" s="10" t="s">
        <v>8278</v>
      </c>
      <c r="C8675" s="10" t="s">
        <v>8279</v>
      </c>
      <c r="D8675" s="10" t="s">
        <v>8285</v>
      </c>
      <c r="E8675" s="10" t="str">
        <f>"644020240512091321168167"</f>
        <v>644020240512091321168167</v>
      </c>
      <c r="F8675" s="9"/>
    </row>
    <row r="8676" s="2" customFormat="1" ht="30" customHeight="1" spans="1:6">
      <c r="A8676" s="9">
        <v>8673</v>
      </c>
      <c r="B8676" s="10" t="s">
        <v>8278</v>
      </c>
      <c r="C8676" s="10" t="s">
        <v>8279</v>
      </c>
      <c r="D8676" s="10" t="s">
        <v>8286</v>
      </c>
      <c r="E8676" s="10" t="str">
        <f>"644020240512100436168410"</f>
        <v>644020240512100436168410</v>
      </c>
      <c r="F8676" s="9"/>
    </row>
    <row r="8677" s="2" customFormat="1" ht="30" customHeight="1" spans="1:6">
      <c r="A8677" s="9">
        <v>8674</v>
      </c>
      <c r="B8677" s="10" t="s">
        <v>8278</v>
      </c>
      <c r="C8677" s="10" t="s">
        <v>8279</v>
      </c>
      <c r="D8677" s="10" t="s">
        <v>8287</v>
      </c>
      <c r="E8677" s="10" t="str">
        <f>"644020240512102428168533"</f>
        <v>644020240512102428168533</v>
      </c>
      <c r="F8677" s="9"/>
    </row>
    <row r="8678" s="2" customFormat="1" ht="30" customHeight="1" spans="1:6">
      <c r="A8678" s="9">
        <v>8675</v>
      </c>
      <c r="B8678" s="10" t="s">
        <v>8278</v>
      </c>
      <c r="C8678" s="10" t="s">
        <v>8279</v>
      </c>
      <c r="D8678" s="10" t="s">
        <v>8288</v>
      </c>
      <c r="E8678" s="10" t="str">
        <f>"644020240513190920176546"</f>
        <v>644020240513190920176546</v>
      </c>
      <c r="F8678" s="9"/>
    </row>
    <row r="8679" s="2" customFormat="1" ht="30" customHeight="1" spans="1:6">
      <c r="A8679" s="9">
        <v>8676</v>
      </c>
      <c r="B8679" s="10" t="s">
        <v>8278</v>
      </c>
      <c r="C8679" s="10" t="s">
        <v>8279</v>
      </c>
      <c r="D8679" s="10" t="s">
        <v>8289</v>
      </c>
      <c r="E8679" s="10" t="str">
        <f>"644020240512201955170799"</f>
        <v>644020240512201955170799</v>
      </c>
      <c r="F8679" s="9"/>
    </row>
    <row r="8680" s="2" customFormat="1" ht="30" customHeight="1" spans="1:6">
      <c r="A8680" s="9">
        <v>8677</v>
      </c>
      <c r="B8680" s="10" t="s">
        <v>8278</v>
      </c>
      <c r="C8680" s="10" t="s">
        <v>8279</v>
      </c>
      <c r="D8680" s="10" t="s">
        <v>8290</v>
      </c>
      <c r="E8680" s="10" t="str">
        <f>"644020240512234046171861"</f>
        <v>644020240512234046171861</v>
      </c>
      <c r="F8680" s="9"/>
    </row>
    <row r="8681" s="2" customFormat="1" ht="30" customHeight="1" spans="1:6">
      <c r="A8681" s="9">
        <v>8678</v>
      </c>
      <c r="B8681" s="10" t="s">
        <v>8278</v>
      </c>
      <c r="C8681" s="10" t="s">
        <v>8279</v>
      </c>
      <c r="D8681" s="10" t="s">
        <v>8291</v>
      </c>
      <c r="E8681" s="10" t="str">
        <f>"644020240513161557175873"</f>
        <v>644020240513161557175873</v>
      </c>
      <c r="F8681" s="9"/>
    </row>
    <row r="8682" s="2" customFormat="1" ht="30" customHeight="1" spans="1:6">
      <c r="A8682" s="9">
        <v>8679</v>
      </c>
      <c r="B8682" s="10" t="s">
        <v>8278</v>
      </c>
      <c r="C8682" s="10" t="s">
        <v>8279</v>
      </c>
      <c r="D8682" s="10" t="s">
        <v>8292</v>
      </c>
      <c r="E8682" s="10" t="str">
        <f>"644020240513202958176824"</f>
        <v>644020240513202958176824</v>
      </c>
      <c r="F8682" s="9"/>
    </row>
    <row r="8683" s="2" customFormat="1" ht="30" customHeight="1" spans="1:6">
      <c r="A8683" s="9">
        <v>8680</v>
      </c>
      <c r="B8683" s="10" t="s">
        <v>8278</v>
      </c>
      <c r="C8683" s="10" t="s">
        <v>8279</v>
      </c>
      <c r="D8683" s="10" t="s">
        <v>8293</v>
      </c>
      <c r="E8683" s="10" t="str">
        <f>"644020240513105016173603"</f>
        <v>644020240513105016173603</v>
      </c>
      <c r="F8683" s="9"/>
    </row>
    <row r="8684" s="2" customFormat="1" ht="30" customHeight="1" spans="1:6">
      <c r="A8684" s="9">
        <v>8681</v>
      </c>
      <c r="B8684" s="10" t="s">
        <v>8278</v>
      </c>
      <c r="C8684" s="10" t="s">
        <v>8279</v>
      </c>
      <c r="D8684" s="10" t="s">
        <v>8294</v>
      </c>
      <c r="E8684" s="10" t="str">
        <f>"644020240512195154170677"</f>
        <v>644020240512195154170677</v>
      </c>
      <c r="F8684" s="9"/>
    </row>
    <row r="8685" s="2" customFormat="1" ht="30" customHeight="1" spans="1:6">
      <c r="A8685" s="9">
        <v>8682</v>
      </c>
      <c r="B8685" s="10" t="s">
        <v>8278</v>
      </c>
      <c r="C8685" s="10" t="s">
        <v>8279</v>
      </c>
      <c r="D8685" s="10" t="s">
        <v>8295</v>
      </c>
      <c r="E8685" s="10" t="str">
        <f>"644020240514140841179090"</f>
        <v>644020240514140841179090</v>
      </c>
      <c r="F8685" s="9"/>
    </row>
    <row r="8686" s="2" customFormat="1" ht="30" customHeight="1" spans="1:6">
      <c r="A8686" s="9">
        <v>8683</v>
      </c>
      <c r="B8686" s="10" t="s">
        <v>8278</v>
      </c>
      <c r="C8686" s="10" t="s">
        <v>8279</v>
      </c>
      <c r="D8686" s="10" t="s">
        <v>8296</v>
      </c>
      <c r="E8686" s="10" t="str">
        <f>"644020240514155608179388"</f>
        <v>644020240514155608179388</v>
      </c>
      <c r="F8686" s="9"/>
    </row>
    <row r="8687" s="2" customFormat="1" ht="30" customHeight="1" spans="1:6">
      <c r="A8687" s="9">
        <v>8684</v>
      </c>
      <c r="B8687" s="10" t="s">
        <v>8278</v>
      </c>
      <c r="C8687" s="10" t="s">
        <v>8279</v>
      </c>
      <c r="D8687" s="10" t="s">
        <v>8297</v>
      </c>
      <c r="E8687" s="10" t="str">
        <f>"644020240514134800179050"</f>
        <v>644020240514134800179050</v>
      </c>
      <c r="F8687" s="9"/>
    </row>
    <row r="8688" s="2" customFormat="1" ht="30" customHeight="1" spans="1:6">
      <c r="A8688" s="9">
        <v>8685</v>
      </c>
      <c r="B8688" s="10" t="s">
        <v>8278</v>
      </c>
      <c r="C8688" s="10" t="s">
        <v>8279</v>
      </c>
      <c r="D8688" s="10" t="s">
        <v>8298</v>
      </c>
      <c r="E8688" s="10" t="str">
        <f>"644020240514141500179102"</f>
        <v>644020240514141500179102</v>
      </c>
      <c r="F8688" s="9"/>
    </row>
    <row r="8689" s="2" customFormat="1" ht="30" customHeight="1" spans="1:6">
      <c r="A8689" s="9">
        <v>8686</v>
      </c>
      <c r="B8689" s="10" t="s">
        <v>8278</v>
      </c>
      <c r="C8689" s="10" t="s">
        <v>8279</v>
      </c>
      <c r="D8689" s="10" t="s">
        <v>8299</v>
      </c>
      <c r="E8689" s="10" t="str">
        <f>"644020240512232114171786"</f>
        <v>644020240512232114171786</v>
      </c>
      <c r="F8689" s="9"/>
    </row>
    <row r="8690" s="2" customFormat="1" ht="30" customHeight="1" spans="1:6">
      <c r="A8690" s="9">
        <v>8687</v>
      </c>
      <c r="B8690" s="10" t="s">
        <v>8278</v>
      </c>
      <c r="C8690" s="10" t="s">
        <v>8279</v>
      </c>
      <c r="D8690" s="10" t="s">
        <v>8300</v>
      </c>
      <c r="E8690" s="10" t="str">
        <f>"644020240513114540174062"</f>
        <v>644020240513114540174062</v>
      </c>
      <c r="F8690" s="9"/>
    </row>
    <row r="8691" s="2" customFormat="1" ht="30" customHeight="1" spans="1:6">
      <c r="A8691" s="9">
        <v>8688</v>
      </c>
      <c r="B8691" s="10" t="s">
        <v>8278</v>
      </c>
      <c r="C8691" s="10" t="s">
        <v>8279</v>
      </c>
      <c r="D8691" s="10" t="s">
        <v>8301</v>
      </c>
      <c r="E8691" s="10" t="str">
        <f>"644020240514220111180298"</f>
        <v>644020240514220111180298</v>
      </c>
      <c r="F8691" s="9"/>
    </row>
    <row r="8692" s="2" customFormat="1" ht="30" customHeight="1" spans="1:6">
      <c r="A8692" s="9">
        <v>8689</v>
      </c>
      <c r="B8692" s="10" t="s">
        <v>8278</v>
      </c>
      <c r="C8692" s="10" t="s">
        <v>8279</v>
      </c>
      <c r="D8692" s="10" t="s">
        <v>8302</v>
      </c>
      <c r="E8692" s="10" t="str">
        <f>"644020240512170223170117"</f>
        <v>644020240512170223170117</v>
      </c>
      <c r="F8692" s="9"/>
    </row>
    <row r="8693" s="2" customFormat="1" ht="30" customHeight="1" spans="1:6">
      <c r="A8693" s="9">
        <v>8690</v>
      </c>
      <c r="B8693" s="10" t="s">
        <v>8278</v>
      </c>
      <c r="C8693" s="10" t="s">
        <v>8279</v>
      </c>
      <c r="D8693" s="10" t="s">
        <v>8303</v>
      </c>
      <c r="E8693" s="10" t="str">
        <f>"644020240514083726177874"</f>
        <v>644020240514083726177874</v>
      </c>
      <c r="F8693" s="9"/>
    </row>
    <row r="8694" s="2" customFormat="1" ht="30" customHeight="1" spans="1:6">
      <c r="A8694" s="9">
        <v>8691</v>
      </c>
      <c r="B8694" s="10" t="s">
        <v>8278</v>
      </c>
      <c r="C8694" s="10" t="s">
        <v>8279</v>
      </c>
      <c r="D8694" s="10" t="s">
        <v>8304</v>
      </c>
      <c r="E8694" s="10" t="str">
        <f>"644020240513104139173524"</f>
        <v>644020240513104139173524</v>
      </c>
      <c r="F8694" s="9"/>
    </row>
    <row r="8695" s="2" customFormat="1" ht="30" customHeight="1" spans="1:6">
      <c r="A8695" s="9">
        <v>8692</v>
      </c>
      <c r="B8695" s="10" t="s">
        <v>8278</v>
      </c>
      <c r="C8695" s="10" t="s">
        <v>8279</v>
      </c>
      <c r="D8695" s="10" t="s">
        <v>8305</v>
      </c>
      <c r="E8695" s="10" t="str">
        <f>"644020240513221833177319"</f>
        <v>644020240513221833177319</v>
      </c>
      <c r="F8695" s="9"/>
    </row>
    <row r="8696" s="2" customFormat="1" ht="30" customHeight="1" spans="1:6">
      <c r="A8696" s="9">
        <v>8693</v>
      </c>
      <c r="B8696" s="10" t="s">
        <v>8278</v>
      </c>
      <c r="C8696" s="10" t="s">
        <v>8279</v>
      </c>
      <c r="D8696" s="10" t="s">
        <v>8306</v>
      </c>
      <c r="E8696" s="10" t="str">
        <f>"644020240514102715178419"</f>
        <v>644020240514102715178419</v>
      </c>
      <c r="F8696" s="9"/>
    </row>
    <row r="8697" s="2" customFormat="1" ht="30" customHeight="1" spans="1:6">
      <c r="A8697" s="9">
        <v>8694</v>
      </c>
      <c r="B8697" s="10" t="s">
        <v>8278</v>
      </c>
      <c r="C8697" s="10" t="s">
        <v>8279</v>
      </c>
      <c r="D8697" s="10" t="s">
        <v>8307</v>
      </c>
      <c r="E8697" s="10" t="str">
        <f>"644020240513165008176052"</f>
        <v>644020240513165008176052</v>
      </c>
      <c r="F8697" s="9"/>
    </row>
    <row r="8698" s="2" customFormat="1" ht="30" customHeight="1" spans="1:6">
      <c r="A8698" s="9">
        <v>8695</v>
      </c>
      <c r="B8698" s="10" t="s">
        <v>8278</v>
      </c>
      <c r="C8698" s="10" t="s">
        <v>8279</v>
      </c>
      <c r="D8698" s="10" t="s">
        <v>8308</v>
      </c>
      <c r="E8698" s="10" t="str">
        <f>"644020240515171254181980"</f>
        <v>644020240515171254181980</v>
      </c>
      <c r="F8698" s="9"/>
    </row>
    <row r="8699" s="2" customFormat="1" ht="30" customHeight="1" spans="1:6">
      <c r="A8699" s="9">
        <v>8696</v>
      </c>
      <c r="B8699" s="10" t="s">
        <v>8278</v>
      </c>
      <c r="C8699" s="10" t="s">
        <v>8279</v>
      </c>
      <c r="D8699" s="10" t="s">
        <v>8309</v>
      </c>
      <c r="E8699" s="10" t="str">
        <f>"644020240516140143183402"</f>
        <v>644020240516140143183402</v>
      </c>
      <c r="F8699" s="9"/>
    </row>
    <row r="8700" s="2" customFormat="1" ht="30" customHeight="1" spans="1:6">
      <c r="A8700" s="9">
        <v>8697</v>
      </c>
      <c r="B8700" s="10" t="s">
        <v>8278</v>
      </c>
      <c r="C8700" s="10" t="s">
        <v>8279</v>
      </c>
      <c r="D8700" s="10" t="s">
        <v>8310</v>
      </c>
      <c r="E8700" s="10" t="str">
        <f>"644020240516142547183420"</f>
        <v>644020240516142547183420</v>
      </c>
      <c r="F8700" s="9"/>
    </row>
    <row r="8701" s="2" customFormat="1" ht="30" customHeight="1" spans="1:6">
      <c r="A8701" s="9">
        <v>8698</v>
      </c>
      <c r="B8701" s="10" t="s">
        <v>8278</v>
      </c>
      <c r="C8701" s="10" t="s">
        <v>8279</v>
      </c>
      <c r="D8701" s="10" t="s">
        <v>8311</v>
      </c>
      <c r="E8701" s="10" t="str">
        <f>"644020240516174836183863"</f>
        <v>644020240516174836183863</v>
      </c>
      <c r="F8701" s="9"/>
    </row>
    <row r="8702" s="2" customFormat="1" ht="30" customHeight="1" spans="1:6">
      <c r="A8702" s="9">
        <v>8699</v>
      </c>
      <c r="B8702" s="10" t="s">
        <v>8278</v>
      </c>
      <c r="C8702" s="10" t="s">
        <v>8279</v>
      </c>
      <c r="D8702" s="10" t="s">
        <v>8312</v>
      </c>
      <c r="E8702" s="10" t="str">
        <f>"644020240513171410176157"</f>
        <v>644020240513171410176157</v>
      </c>
      <c r="F8702" s="9"/>
    </row>
    <row r="8703" s="2" customFormat="1" ht="30" customHeight="1" spans="1:6">
      <c r="A8703" s="9">
        <v>8700</v>
      </c>
      <c r="B8703" s="10" t="s">
        <v>8278</v>
      </c>
      <c r="C8703" s="10" t="s">
        <v>8279</v>
      </c>
      <c r="D8703" s="10" t="s">
        <v>8313</v>
      </c>
      <c r="E8703" s="10" t="str">
        <f>"644020240516222630184285"</f>
        <v>644020240516222630184285</v>
      </c>
      <c r="F8703" s="9"/>
    </row>
    <row r="8704" s="2" customFormat="1" ht="30" customHeight="1" spans="1:6">
      <c r="A8704" s="9">
        <v>8701</v>
      </c>
      <c r="B8704" s="10" t="s">
        <v>8278</v>
      </c>
      <c r="C8704" s="10" t="s">
        <v>8279</v>
      </c>
      <c r="D8704" s="10" t="s">
        <v>8314</v>
      </c>
      <c r="E8704" s="10" t="str">
        <f>"644020240516234556184434"</f>
        <v>644020240516234556184434</v>
      </c>
      <c r="F8704" s="9"/>
    </row>
    <row r="8705" s="2" customFormat="1" ht="30" customHeight="1" spans="1:6">
      <c r="A8705" s="9">
        <v>8702</v>
      </c>
      <c r="B8705" s="10" t="s">
        <v>8278</v>
      </c>
      <c r="C8705" s="10" t="s">
        <v>8279</v>
      </c>
      <c r="D8705" s="10" t="s">
        <v>8315</v>
      </c>
      <c r="E8705" s="10" t="str">
        <f>"644020240517083913184647"</f>
        <v>644020240517083913184647</v>
      </c>
      <c r="F8705" s="9"/>
    </row>
    <row r="8706" s="2" customFormat="1" ht="30" customHeight="1" spans="1:6">
      <c r="A8706" s="9">
        <v>8703</v>
      </c>
      <c r="B8706" s="10" t="s">
        <v>8278</v>
      </c>
      <c r="C8706" s="10" t="s">
        <v>8279</v>
      </c>
      <c r="D8706" s="10" t="s">
        <v>8316</v>
      </c>
      <c r="E8706" s="10" t="str">
        <f>"644020240516184923183964"</f>
        <v>644020240516184923183964</v>
      </c>
      <c r="F8706" s="9"/>
    </row>
    <row r="8707" s="2" customFormat="1" ht="30" customHeight="1" spans="1:6">
      <c r="A8707" s="9">
        <v>8704</v>
      </c>
      <c r="B8707" s="10" t="s">
        <v>8278</v>
      </c>
      <c r="C8707" s="10" t="s">
        <v>8279</v>
      </c>
      <c r="D8707" s="10" t="s">
        <v>8317</v>
      </c>
      <c r="E8707" s="10" t="str">
        <f>"644020240515110801181175"</f>
        <v>644020240515110801181175</v>
      </c>
      <c r="F8707" s="9"/>
    </row>
    <row r="8708" s="2" customFormat="1" ht="30" customHeight="1" spans="1:6">
      <c r="A8708" s="9">
        <v>8705</v>
      </c>
      <c r="B8708" s="10" t="s">
        <v>8278</v>
      </c>
      <c r="C8708" s="10" t="s">
        <v>8279</v>
      </c>
      <c r="D8708" s="10" t="s">
        <v>8318</v>
      </c>
      <c r="E8708" s="10" t="str">
        <f>"644020240517012018184524"</f>
        <v>644020240517012018184524</v>
      </c>
      <c r="F8708" s="9"/>
    </row>
    <row r="8709" s="2" customFormat="1" ht="30" customHeight="1" spans="1:6">
      <c r="A8709" s="9">
        <v>8706</v>
      </c>
      <c r="B8709" s="10" t="s">
        <v>8278</v>
      </c>
      <c r="C8709" s="10" t="s">
        <v>8279</v>
      </c>
      <c r="D8709" s="10" t="s">
        <v>8319</v>
      </c>
      <c r="E8709" s="10" t="str">
        <f>"644020240516223302184300"</f>
        <v>644020240516223302184300</v>
      </c>
      <c r="F8709" s="9"/>
    </row>
    <row r="8710" s="2" customFormat="1" ht="30" customHeight="1" spans="1:6">
      <c r="A8710" s="9">
        <v>8707</v>
      </c>
      <c r="B8710" s="10" t="s">
        <v>8278</v>
      </c>
      <c r="C8710" s="10" t="s">
        <v>8279</v>
      </c>
      <c r="D8710" s="10" t="s">
        <v>8320</v>
      </c>
      <c r="E8710" s="10" t="str">
        <f>"644020240516181348183903"</f>
        <v>644020240516181348183903</v>
      </c>
      <c r="F8710" s="9"/>
    </row>
    <row r="8711" s="2" customFormat="1" ht="30" customHeight="1" spans="1:6">
      <c r="A8711" s="9">
        <v>8708</v>
      </c>
      <c r="B8711" s="10" t="s">
        <v>8278</v>
      </c>
      <c r="C8711" s="10" t="s">
        <v>8279</v>
      </c>
      <c r="D8711" s="10" t="s">
        <v>8321</v>
      </c>
      <c r="E8711" s="10" t="str">
        <f>"644020240517125551185191"</f>
        <v>644020240517125551185191</v>
      </c>
      <c r="F8711" s="9"/>
    </row>
    <row r="8712" s="2" customFormat="1" ht="30" customHeight="1" spans="1:6">
      <c r="A8712" s="9">
        <v>8709</v>
      </c>
      <c r="B8712" s="10" t="s">
        <v>8278</v>
      </c>
      <c r="C8712" s="10" t="s">
        <v>8279</v>
      </c>
      <c r="D8712" s="10" t="s">
        <v>8322</v>
      </c>
      <c r="E8712" s="10" t="str">
        <f>"644020240514090411177984"</f>
        <v>644020240514090411177984</v>
      </c>
      <c r="F8712" s="9"/>
    </row>
    <row r="8713" s="2" customFormat="1" ht="30" customHeight="1" spans="1:6">
      <c r="A8713" s="9">
        <v>8710</v>
      </c>
      <c r="B8713" s="10" t="s">
        <v>8278</v>
      </c>
      <c r="C8713" s="10" t="s">
        <v>8279</v>
      </c>
      <c r="D8713" s="10" t="s">
        <v>8323</v>
      </c>
      <c r="E8713" s="10" t="str">
        <f>"644020240512193910170632"</f>
        <v>644020240512193910170632</v>
      </c>
      <c r="F8713" s="9"/>
    </row>
    <row r="8714" s="2" customFormat="1" ht="30" customHeight="1" spans="1:6">
      <c r="A8714" s="9">
        <v>8711</v>
      </c>
      <c r="B8714" s="10" t="s">
        <v>8278</v>
      </c>
      <c r="C8714" s="10" t="s">
        <v>8279</v>
      </c>
      <c r="D8714" s="10" t="s">
        <v>8324</v>
      </c>
      <c r="E8714" s="10" t="str">
        <f>"644020240517161707185628"</f>
        <v>644020240517161707185628</v>
      </c>
      <c r="F8714" s="9"/>
    </row>
    <row r="8715" s="2" customFormat="1" ht="30" customHeight="1" spans="1:6">
      <c r="A8715" s="9">
        <v>8712</v>
      </c>
      <c r="B8715" s="10" t="s">
        <v>8278</v>
      </c>
      <c r="C8715" s="10" t="s">
        <v>8279</v>
      </c>
      <c r="D8715" s="10" t="s">
        <v>8325</v>
      </c>
      <c r="E8715" s="10" t="str">
        <f>"644020240512104434168645"</f>
        <v>644020240512104434168645</v>
      </c>
      <c r="F8715" s="9"/>
    </row>
    <row r="8716" s="2" customFormat="1" ht="30" customHeight="1" spans="1:6">
      <c r="A8716" s="9">
        <v>8713</v>
      </c>
      <c r="B8716" s="10" t="s">
        <v>8278</v>
      </c>
      <c r="C8716" s="10" t="s">
        <v>8279</v>
      </c>
      <c r="D8716" s="10" t="s">
        <v>8326</v>
      </c>
      <c r="E8716" s="10" t="str">
        <f>"644020240517195614185924"</f>
        <v>644020240517195614185924</v>
      </c>
      <c r="F8716" s="9"/>
    </row>
    <row r="8717" s="2" customFormat="1" ht="30" customHeight="1" spans="1:6">
      <c r="A8717" s="9">
        <v>8714</v>
      </c>
      <c r="B8717" s="10" t="s">
        <v>8278</v>
      </c>
      <c r="C8717" s="10" t="s">
        <v>8279</v>
      </c>
      <c r="D8717" s="10" t="s">
        <v>8327</v>
      </c>
      <c r="E8717" s="10" t="str">
        <f>"644020240517193737185898"</f>
        <v>644020240517193737185898</v>
      </c>
      <c r="F8717" s="9"/>
    </row>
    <row r="8718" s="2" customFormat="1" ht="30" customHeight="1" spans="1:6">
      <c r="A8718" s="9">
        <v>8715</v>
      </c>
      <c r="B8718" s="10" t="s">
        <v>8278</v>
      </c>
      <c r="C8718" s="10" t="s">
        <v>8279</v>
      </c>
      <c r="D8718" s="10" t="s">
        <v>8328</v>
      </c>
      <c r="E8718" s="10" t="str">
        <f>"644020240512223917171547"</f>
        <v>644020240512223917171547</v>
      </c>
      <c r="F8718" s="9"/>
    </row>
    <row r="8719" s="2" customFormat="1" ht="30" customHeight="1" spans="1:6">
      <c r="A8719" s="9">
        <v>8716</v>
      </c>
      <c r="B8719" s="10" t="s">
        <v>8278</v>
      </c>
      <c r="C8719" s="10" t="s">
        <v>8279</v>
      </c>
      <c r="D8719" s="10" t="s">
        <v>8329</v>
      </c>
      <c r="E8719" s="10" t="str">
        <f>"644020240517223053186058"</f>
        <v>644020240517223053186058</v>
      </c>
      <c r="F8719" s="9"/>
    </row>
    <row r="8720" s="2" customFormat="1" ht="30" customHeight="1" spans="1:6">
      <c r="A8720" s="9">
        <v>8717</v>
      </c>
      <c r="B8720" s="10" t="s">
        <v>8278</v>
      </c>
      <c r="C8720" s="10" t="s">
        <v>8279</v>
      </c>
      <c r="D8720" s="10" t="s">
        <v>8330</v>
      </c>
      <c r="E8720" s="10" t="str">
        <f>"644020240516113814183190"</f>
        <v>644020240516113814183190</v>
      </c>
      <c r="F8720" s="9"/>
    </row>
    <row r="8721" s="2" customFormat="1" ht="30" customHeight="1" spans="1:6">
      <c r="A8721" s="9">
        <v>8718</v>
      </c>
      <c r="B8721" s="10" t="s">
        <v>8278</v>
      </c>
      <c r="C8721" s="10" t="s">
        <v>8279</v>
      </c>
      <c r="D8721" s="10" t="s">
        <v>8331</v>
      </c>
      <c r="E8721" s="10" t="str">
        <f>"644020240517153551185525"</f>
        <v>644020240517153551185525</v>
      </c>
      <c r="F8721" s="9"/>
    </row>
    <row r="8722" s="2" customFormat="1" ht="30" customHeight="1" spans="1:6">
      <c r="A8722" s="9">
        <v>8719</v>
      </c>
      <c r="B8722" s="10" t="s">
        <v>8278</v>
      </c>
      <c r="C8722" s="10" t="s">
        <v>8279</v>
      </c>
      <c r="D8722" s="10" t="s">
        <v>8332</v>
      </c>
      <c r="E8722" s="10" t="str">
        <f>"644020240518003029186194"</f>
        <v>644020240518003029186194</v>
      </c>
      <c r="F8722" s="9"/>
    </row>
    <row r="8723" s="2" customFormat="1" ht="30" customHeight="1" spans="1:6">
      <c r="A8723" s="9">
        <v>8720</v>
      </c>
      <c r="B8723" s="10" t="s">
        <v>8278</v>
      </c>
      <c r="C8723" s="10" t="s">
        <v>8279</v>
      </c>
      <c r="D8723" s="10" t="s">
        <v>1903</v>
      </c>
      <c r="E8723" s="10" t="str">
        <f>"644020240516115042183210"</f>
        <v>644020240516115042183210</v>
      </c>
      <c r="F8723" s="9"/>
    </row>
    <row r="8724" s="2" customFormat="1" ht="30" customHeight="1" spans="1:6">
      <c r="A8724" s="9">
        <v>8721</v>
      </c>
      <c r="B8724" s="10" t="s">
        <v>8278</v>
      </c>
      <c r="C8724" s="10" t="s">
        <v>8279</v>
      </c>
      <c r="D8724" s="10" t="s">
        <v>865</v>
      </c>
      <c r="E8724" s="10" t="str">
        <f>"644020240518001240186166"</f>
        <v>644020240518001240186166</v>
      </c>
      <c r="F8724" s="9"/>
    </row>
    <row r="8725" s="2" customFormat="1" ht="30" customHeight="1" spans="1:6">
      <c r="A8725" s="9">
        <v>8722</v>
      </c>
      <c r="B8725" s="10" t="s">
        <v>8278</v>
      </c>
      <c r="C8725" s="10" t="s">
        <v>8279</v>
      </c>
      <c r="D8725" s="10" t="s">
        <v>8333</v>
      </c>
      <c r="E8725" s="10" t="str">
        <f>"644020240518004455186210"</f>
        <v>644020240518004455186210</v>
      </c>
      <c r="F8725" s="9"/>
    </row>
    <row r="8726" s="2" customFormat="1" ht="30" customHeight="1" spans="1:6">
      <c r="A8726" s="9">
        <v>8723</v>
      </c>
      <c r="B8726" s="10" t="s">
        <v>8278</v>
      </c>
      <c r="C8726" s="10" t="s">
        <v>8279</v>
      </c>
      <c r="D8726" s="10" t="s">
        <v>8334</v>
      </c>
      <c r="E8726" s="10" t="str">
        <f>"644020240518015824186268"</f>
        <v>644020240518015824186268</v>
      </c>
      <c r="F8726" s="9"/>
    </row>
    <row r="8727" s="2" customFormat="1" ht="30" customHeight="1" spans="1:6">
      <c r="A8727" s="9">
        <v>8724</v>
      </c>
      <c r="B8727" s="10" t="s">
        <v>8278</v>
      </c>
      <c r="C8727" s="10" t="s">
        <v>8279</v>
      </c>
      <c r="D8727" s="10" t="s">
        <v>8335</v>
      </c>
      <c r="E8727" s="10" t="str">
        <f>"644020240517222108186052"</f>
        <v>644020240517222108186052</v>
      </c>
      <c r="F8727" s="9"/>
    </row>
    <row r="8728" s="2" customFormat="1" ht="30" customHeight="1" spans="1:6">
      <c r="A8728" s="9">
        <v>8725</v>
      </c>
      <c r="B8728" s="10" t="s">
        <v>8278</v>
      </c>
      <c r="C8728" s="10" t="s">
        <v>8279</v>
      </c>
      <c r="D8728" s="10" t="s">
        <v>8336</v>
      </c>
      <c r="E8728" s="10" t="str">
        <f>"644020240517133745185278"</f>
        <v>644020240517133745185278</v>
      </c>
      <c r="F8728" s="9"/>
    </row>
    <row r="8729" s="2" customFormat="1" ht="30" customHeight="1" spans="1:6">
      <c r="A8729" s="9">
        <v>8726</v>
      </c>
      <c r="B8729" s="10" t="s">
        <v>8278</v>
      </c>
      <c r="C8729" s="10" t="s">
        <v>8279</v>
      </c>
      <c r="D8729" s="10" t="s">
        <v>8337</v>
      </c>
      <c r="E8729" s="10" t="str">
        <f>"644020240518112015186746"</f>
        <v>644020240518112015186746</v>
      </c>
      <c r="F8729" s="9"/>
    </row>
    <row r="8730" s="2" customFormat="1" ht="30" customHeight="1" spans="1:6">
      <c r="A8730" s="9">
        <v>8727</v>
      </c>
      <c r="B8730" s="10" t="s">
        <v>8278</v>
      </c>
      <c r="C8730" s="10" t="s">
        <v>8279</v>
      </c>
      <c r="D8730" s="10" t="s">
        <v>8338</v>
      </c>
      <c r="E8730" s="10" t="str">
        <f>"644020240518080200186366"</f>
        <v>644020240518080200186366</v>
      </c>
      <c r="F8730" s="9"/>
    </row>
    <row r="8731" s="2" customFormat="1" ht="30" customHeight="1" spans="1:6">
      <c r="A8731" s="9">
        <v>8728</v>
      </c>
      <c r="B8731" s="10" t="s">
        <v>8339</v>
      </c>
      <c r="C8731" s="10" t="s">
        <v>8340</v>
      </c>
      <c r="D8731" s="10" t="s">
        <v>8341</v>
      </c>
      <c r="E8731" s="10" t="str">
        <f>"644020240512092224168205"</f>
        <v>644020240512092224168205</v>
      </c>
      <c r="F8731" s="9"/>
    </row>
    <row r="8732" s="2" customFormat="1" ht="30" customHeight="1" spans="1:6">
      <c r="A8732" s="9">
        <v>8729</v>
      </c>
      <c r="B8732" s="10" t="s">
        <v>8339</v>
      </c>
      <c r="C8732" s="10" t="s">
        <v>8340</v>
      </c>
      <c r="D8732" s="10" t="s">
        <v>4878</v>
      </c>
      <c r="E8732" s="10" t="str">
        <f>"644020240512093125168249"</f>
        <v>644020240512093125168249</v>
      </c>
      <c r="F8732" s="9"/>
    </row>
    <row r="8733" s="2" customFormat="1" ht="30" customHeight="1" spans="1:6">
      <c r="A8733" s="9">
        <v>8730</v>
      </c>
      <c r="B8733" s="10" t="s">
        <v>8339</v>
      </c>
      <c r="C8733" s="10" t="s">
        <v>8340</v>
      </c>
      <c r="D8733" s="10" t="s">
        <v>8342</v>
      </c>
      <c r="E8733" s="10" t="str">
        <f>"644020240512091246168163"</f>
        <v>644020240512091246168163</v>
      </c>
      <c r="F8733" s="9"/>
    </row>
    <row r="8734" s="2" customFormat="1" ht="30" customHeight="1" spans="1:6">
      <c r="A8734" s="9">
        <v>8731</v>
      </c>
      <c r="B8734" s="10" t="s">
        <v>8339</v>
      </c>
      <c r="C8734" s="10" t="s">
        <v>8340</v>
      </c>
      <c r="D8734" s="10" t="s">
        <v>8343</v>
      </c>
      <c r="E8734" s="10" t="str">
        <f>"644020240512095505168351"</f>
        <v>644020240512095505168351</v>
      </c>
      <c r="F8734" s="9"/>
    </row>
    <row r="8735" s="2" customFormat="1" ht="30" customHeight="1" spans="1:6">
      <c r="A8735" s="9">
        <v>8732</v>
      </c>
      <c r="B8735" s="10" t="s">
        <v>8339</v>
      </c>
      <c r="C8735" s="10" t="s">
        <v>8340</v>
      </c>
      <c r="D8735" s="10" t="s">
        <v>8344</v>
      </c>
      <c r="E8735" s="10" t="str">
        <f>"644020240512094735168309"</f>
        <v>644020240512094735168309</v>
      </c>
      <c r="F8735" s="9"/>
    </row>
    <row r="8736" s="2" customFormat="1" ht="30" customHeight="1" spans="1:6">
      <c r="A8736" s="9">
        <v>8733</v>
      </c>
      <c r="B8736" s="10" t="s">
        <v>8339</v>
      </c>
      <c r="C8736" s="10" t="s">
        <v>8340</v>
      </c>
      <c r="D8736" s="10" t="s">
        <v>8345</v>
      </c>
      <c r="E8736" s="10" t="str">
        <f>"644020240512090623168119"</f>
        <v>644020240512090623168119</v>
      </c>
      <c r="F8736" s="9"/>
    </row>
    <row r="8737" s="2" customFormat="1" ht="30" customHeight="1" spans="1:6">
      <c r="A8737" s="9">
        <v>8734</v>
      </c>
      <c r="B8737" s="10" t="s">
        <v>8339</v>
      </c>
      <c r="C8737" s="10" t="s">
        <v>8340</v>
      </c>
      <c r="D8737" s="10" t="s">
        <v>8346</v>
      </c>
      <c r="E8737" s="10" t="str">
        <f>"644020240512103955168623"</f>
        <v>644020240512103955168623</v>
      </c>
      <c r="F8737" s="9"/>
    </row>
    <row r="8738" s="2" customFormat="1" ht="30" customHeight="1" spans="1:6">
      <c r="A8738" s="9">
        <v>8735</v>
      </c>
      <c r="B8738" s="10" t="s">
        <v>8339</v>
      </c>
      <c r="C8738" s="10" t="s">
        <v>8340</v>
      </c>
      <c r="D8738" s="10" t="s">
        <v>8347</v>
      </c>
      <c r="E8738" s="10" t="str">
        <f>"644020240512091744168186"</f>
        <v>644020240512091744168186</v>
      </c>
      <c r="F8738" s="9"/>
    </row>
    <row r="8739" s="2" customFormat="1" ht="30" customHeight="1" spans="1:6">
      <c r="A8739" s="9">
        <v>8736</v>
      </c>
      <c r="B8739" s="10" t="s">
        <v>8339</v>
      </c>
      <c r="C8739" s="10" t="s">
        <v>8340</v>
      </c>
      <c r="D8739" s="10" t="s">
        <v>8348</v>
      </c>
      <c r="E8739" s="10" t="str">
        <f>"644020240512112324168853"</f>
        <v>644020240512112324168853</v>
      </c>
      <c r="F8739" s="9"/>
    </row>
    <row r="8740" s="2" customFormat="1" ht="30" customHeight="1" spans="1:6">
      <c r="A8740" s="9">
        <v>8737</v>
      </c>
      <c r="B8740" s="10" t="s">
        <v>8339</v>
      </c>
      <c r="C8740" s="10" t="s">
        <v>8340</v>
      </c>
      <c r="D8740" s="10" t="s">
        <v>8349</v>
      </c>
      <c r="E8740" s="10" t="str">
        <f>"644020240512124351169184"</f>
        <v>644020240512124351169184</v>
      </c>
      <c r="F8740" s="9"/>
    </row>
    <row r="8741" s="2" customFormat="1" ht="30" customHeight="1" spans="1:6">
      <c r="A8741" s="9">
        <v>8738</v>
      </c>
      <c r="B8741" s="10" t="s">
        <v>8339</v>
      </c>
      <c r="C8741" s="10" t="s">
        <v>8340</v>
      </c>
      <c r="D8741" s="10" t="s">
        <v>8350</v>
      </c>
      <c r="E8741" s="10" t="str">
        <f>"644020240512132749169353"</f>
        <v>644020240512132749169353</v>
      </c>
      <c r="F8741" s="9"/>
    </row>
    <row r="8742" s="2" customFormat="1" ht="30" customHeight="1" spans="1:6">
      <c r="A8742" s="9">
        <v>8739</v>
      </c>
      <c r="B8742" s="10" t="s">
        <v>8339</v>
      </c>
      <c r="C8742" s="10" t="s">
        <v>8340</v>
      </c>
      <c r="D8742" s="10" t="s">
        <v>8351</v>
      </c>
      <c r="E8742" s="10" t="str">
        <f>"644020240512131934169318"</f>
        <v>644020240512131934169318</v>
      </c>
      <c r="F8742" s="9"/>
    </row>
    <row r="8743" s="2" customFormat="1" ht="30" customHeight="1" spans="1:6">
      <c r="A8743" s="9">
        <v>8740</v>
      </c>
      <c r="B8743" s="10" t="s">
        <v>8339</v>
      </c>
      <c r="C8743" s="10" t="s">
        <v>8340</v>
      </c>
      <c r="D8743" s="10" t="s">
        <v>8352</v>
      </c>
      <c r="E8743" s="10" t="str">
        <f>"644020240512152733169752"</f>
        <v>644020240512152733169752</v>
      </c>
      <c r="F8743" s="9"/>
    </row>
    <row r="8744" s="2" customFormat="1" ht="30" customHeight="1" spans="1:6">
      <c r="A8744" s="9">
        <v>8741</v>
      </c>
      <c r="B8744" s="10" t="s">
        <v>8339</v>
      </c>
      <c r="C8744" s="10" t="s">
        <v>8340</v>
      </c>
      <c r="D8744" s="10" t="s">
        <v>5669</v>
      </c>
      <c r="E8744" s="10" t="str">
        <f>"644020240512120308169020"</f>
        <v>644020240512120308169020</v>
      </c>
      <c r="F8744" s="9"/>
    </row>
    <row r="8745" s="2" customFormat="1" ht="30" customHeight="1" spans="1:6">
      <c r="A8745" s="9">
        <v>8742</v>
      </c>
      <c r="B8745" s="10" t="s">
        <v>8339</v>
      </c>
      <c r="C8745" s="10" t="s">
        <v>8340</v>
      </c>
      <c r="D8745" s="10" t="s">
        <v>8353</v>
      </c>
      <c r="E8745" s="10" t="str">
        <f>"644020240512093401168260"</f>
        <v>644020240512093401168260</v>
      </c>
      <c r="F8745" s="9"/>
    </row>
    <row r="8746" s="2" customFormat="1" ht="30" customHeight="1" spans="1:6">
      <c r="A8746" s="9">
        <v>8743</v>
      </c>
      <c r="B8746" s="10" t="s">
        <v>8339</v>
      </c>
      <c r="C8746" s="10" t="s">
        <v>8340</v>
      </c>
      <c r="D8746" s="10" t="s">
        <v>8354</v>
      </c>
      <c r="E8746" s="10" t="str">
        <f>"644020240512102221168518"</f>
        <v>644020240512102221168518</v>
      </c>
      <c r="F8746" s="9"/>
    </row>
    <row r="8747" s="2" customFormat="1" ht="30" customHeight="1" spans="1:6">
      <c r="A8747" s="9">
        <v>8744</v>
      </c>
      <c r="B8747" s="10" t="s">
        <v>8339</v>
      </c>
      <c r="C8747" s="10" t="s">
        <v>8340</v>
      </c>
      <c r="D8747" s="10" t="s">
        <v>8355</v>
      </c>
      <c r="E8747" s="10" t="str">
        <f>"644020240512161603169943"</f>
        <v>644020240512161603169943</v>
      </c>
      <c r="F8747" s="9"/>
    </row>
    <row r="8748" s="2" customFormat="1" ht="30" customHeight="1" spans="1:6">
      <c r="A8748" s="9">
        <v>8745</v>
      </c>
      <c r="B8748" s="10" t="s">
        <v>8339</v>
      </c>
      <c r="C8748" s="10" t="s">
        <v>8340</v>
      </c>
      <c r="D8748" s="10" t="s">
        <v>8356</v>
      </c>
      <c r="E8748" s="10" t="str">
        <f>"644020240512172749170204"</f>
        <v>644020240512172749170204</v>
      </c>
      <c r="F8748" s="9"/>
    </row>
    <row r="8749" s="2" customFormat="1" ht="30" customHeight="1" spans="1:6">
      <c r="A8749" s="9">
        <v>8746</v>
      </c>
      <c r="B8749" s="10" t="s">
        <v>8339</v>
      </c>
      <c r="C8749" s="10" t="s">
        <v>8340</v>
      </c>
      <c r="D8749" s="10" t="s">
        <v>8357</v>
      </c>
      <c r="E8749" s="10" t="str">
        <f>"644020240512182401170375"</f>
        <v>644020240512182401170375</v>
      </c>
      <c r="F8749" s="9"/>
    </row>
    <row r="8750" s="2" customFormat="1" ht="30" customHeight="1" spans="1:6">
      <c r="A8750" s="9">
        <v>8747</v>
      </c>
      <c r="B8750" s="10" t="s">
        <v>8339</v>
      </c>
      <c r="C8750" s="10" t="s">
        <v>8340</v>
      </c>
      <c r="D8750" s="10" t="s">
        <v>8358</v>
      </c>
      <c r="E8750" s="10" t="str">
        <f>"644020240512172900170209"</f>
        <v>644020240512172900170209</v>
      </c>
      <c r="F8750" s="9"/>
    </row>
    <row r="8751" s="2" customFormat="1" ht="30" customHeight="1" spans="1:6">
      <c r="A8751" s="9">
        <v>8748</v>
      </c>
      <c r="B8751" s="10" t="s">
        <v>8339</v>
      </c>
      <c r="C8751" s="10" t="s">
        <v>8340</v>
      </c>
      <c r="D8751" s="10" t="s">
        <v>8359</v>
      </c>
      <c r="E8751" s="10" t="str">
        <f>"644020240512182021170358"</f>
        <v>644020240512182021170358</v>
      </c>
      <c r="F8751" s="9"/>
    </row>
    <row r="8752" s="2" customFormat="1" ht="30" customHeight="1" spans="1:6">
      <c r="A8752" s="9">
        <v>8749</v>
      </c>
      <c r="B8752" s="10" t="s">
        <v>8339</v>
      </c>
      <c r="C8752" s="10" t="s">
        <v>8340</v>
      </c>
      <c r="D8752" s="10" t="s">
        <v>8360</v>
      </c>
      <c r="E8752" s="10" t="str">
        <f>"644020240512092102168202"</f>
        <v>644020240512092102168202</v>
      </c>
      <c r="F8752" s="9"/>
    </row>
    <row r="8753" s="2" customFormat="1" ht="30" customHeight="1" spans="1:6">
      <c r="A8753" s="9">
        <v>8750</v>
      </c>
      <c r="B8753" s="10" t="s">
        <v>8339</v>
      </c>
      <c r="C8753" s="10" t="s">
        <v>8340</v>
      </c>
      <c r="D8753" s="10" t="s">
        <v>8361</v>
      </c>
      <c r="E8753" s="10" t="str">
        <f>"644020240512202846170833"</f>
        <v>644020240512202846170833</v>
      </c>
      <c r="F8753" s="9"/>
    </row>
    <row r="8754" s="2" customFormat="1" ht="30" customHeight="1" spans="1:6">
      <c r="A8754" s="9">
        <v>8751</v>
      </c>
      <c r="B8754" s="10" t="s">
        <v>8339</v>
      </c>
      <c r="C8754" s="10" t="s">
        <v>8340</v>
      </c>
      <c r="D8754" s="10" t="s">
        <v>8362</v>
      </c>
      <c r="E8754" s="10" t="str">
        <f>"644020240512205229170945"</f>
        <v>644020240512205229170945</v>
      </c>
      <c r="F8754" s="9"/>
    </row>
    <row r="8755" s="2" customFormat="1" ht="30" customHeight="1" spans="1:6">
      <c r="A8755" s="9">
        <v>8752</v>
      </c>
      <c r="B8755" s="10" t="s">
        <v>8339</v>
      </c>
      <c r="C8755" s="10" t="s">
        <v>8340</v>
      </c>
      <c r="D8755" s="10" t="s">
        <v>8363</v>
      </c>
      <c r="E8755" s="10" t="str">
        <f>"644020240512211427171071"</f>
        <v>644020240512211427171071</v>
      </c>
      <c r="F8755" s="9"/>
    </row>
    <row r="8756" s="2" customFormat="1" ht="30" customHeight="1" spans="1:6">
      <c r="A8756" s="9">
        <v>8753</v>
      </c>
      <c r="B8756" s="10" t="s">
        <v>8339</v>
      </c>
      <c r="C8756" s="10" t="s">
        <v>8340</v>
      </c>
      <c r="D8756" s="10" t="s">
        <v>8364</v>
      </c>
      <c r="E8756" s="10" t="str">
        <f>"644020240512192044170570"</f>
        <v>644020240512192044170570</v>
      </c>
      <c r="F8756" s="9"/>
    </row>
    <row r="8757" s="2" customFormat="1" ht="30" customHeight="1" spans="1:6">
      <c r="A8757" s="9">
        <v>8754</v>
      </c>
      <c r="B8757" s="10" t="s">
        <v>8339</v>
      </c>
      <c r="C8757" s="10" t="s">
        <v>8340</v>
      </c>
      <c r="D8757" s="10" t="s">
        <v>8365</v>
      </c>
      <c r="E8757" s="10" t="str">
        <f>"644020240513084223172370"</f>
        <v>644020240513084223172370</v>
      </c>
      <c r="F8757" s="9"/>
    </row>
    <row r="8758" s="2" customFormat="1" ht="30" customHeight="1" spans="1:6">
      <c r="A8758" s="9">
        <v>8755</v>
      </c>
      <c r="B8758" s="10" t="s">
        <v>8339</v>
      </c>
      <c r="C8758" s="10" t="s">
        <v>8340</v>
      </c>
      <c r="D8758" s="10" t="s">
        <v>7125</v>
      </c>
      <c r="E8758" s="10" t="str">
        <f>"644020240513083425172319"</f>
        <v>644020240513083425172319</v>
      </c>
      <c r="F8758" s="9"/>
    </row>
    <row r="8759" s="2" customFormat="1" ht="30" customHeight="1" spans="1:6">
      <c r="A8759" s="9">
        <v>8756</v>
      </c>
      <c r="B8759" s="10" t="s">
        <v>8339</v>
      </c>
      <c r="C8759" s="10" t="s">
        <v>8340</v>
      </c>
      <c r="D8759" s="10" t="s">
        <v>8366</v>
      </c>
      <c r="E8759" s="10" t="str">
        <f>"644020240513095312173053"</f>
        <v>644020240513095312173053</v>
      </c>
      <c r="F8759" s="9"/>
    </row>
    <row r="8760" s="2" customFormat="1" ht="30" customHeight="1" spans="1:6">
      <c r="A8760" s="9">
        <v>8757</v>
      </c>
      <c r="B8760" s="10" t="s">
        <v>8339</v>
      </c>
      <c r="C8760" s="10" t="s">
        <v>8340</v>
      </c>
      <c r="D8760" s="10" t="s">
        <v>8367</v>
      </c>
      <c r="E8760" s="10" t="str">
        <f>"644020240513101211173232"</f>
        <v>644020240513101211173232</v>
      </c>
      <c r="F8760" s="9"/>
    </row>
    <row r="8761" s="2" customFormat="1" ht="30" customHeight="1" spans="1:6">
      <c r="A8761" s="9">
        <v>8758</v>
      </c>
      <c r="B8761" s="10" t="s">
        <v>8339</v>
      </c>
      <c r="C8761" s="10" t="s">
        <v>8340</v>
      </c>
      <c r="D8761" s="10" t="s">
        <v>3812</v>
      </c>
      <c r="E8761" s="10" t="str">
        <f>"644020240512175427170291"</f>
        <v>644020240512175427170291</v>
      </c>
      <c r="F8761" s="9"/>
    </row>
    <row r="8762" s="2" customFormat="1" ht="30" customHeight="1" spans="1:6">
      <c r="A8762" s="9">
        <v>8759</v>
      </c>
      <c r="B8762" s="10" t="s">
        <v>8339</v>
      </c>
      <c r="C8762" s="10" t="s">
        <v>8340</v>
      </c>
      <c r="D8762" s="10" t="s">
        <v>8368</v>
      </c>
      <c r="E8762" s="10" t="str">
        <f>"644020240513102643173377"</f>
        <v>644020240513102643173377</v>
      </c>
      <c r="F8762" s="9"/>
    </row>
    <row r="8763" s="2" customFormat="1" ht="30" customHeight="1" spans="1:6">
      <c r="A8763" s="9">
        <v>8760</v>
      </c>
      <c r="B8763" s="10" t="s">
        <v>8339</v>
      </c>
      <c r="C8763" s="10" t="s">
        <v>8340</v>
      </c>
      <c r="D8763" s="10" t="s">
        <v>8369</v>
      </c>
      <c r="E8763" s="10" t="str">
        <f>"644020240513103229173445"</f>
        <v>644020240513103229173445</v>
      </c>
      <c r="F8763" s="9"/>
    </row>
    <row r="8764" s="2" customFormat="1" ht="30" customHeight="1" spans="1:6">
      <c r="A8764" s="9">
        <v>8761</v>
      </c>
      <c r="B8764" s="10" t="s">
        <v>8339</v>
      </c>
      <c r="C8764" s="10" t="s">
        <v>8340</v>
      </c>
      <c r="D8764" s="10" t="s">
        <v>437</v>
      </c>
      <c r="E8764" s="10" t="str">
        <f>"644020240513102745173393"</f>
        <v>644020240513102745173393</v>
      </c>
      <c r="F8764" s="9"/>
    </row>
    <row r="8765" s="2" customFormat="1" ht="30" customHeight="1" spans="1:6">
      <c r="A8765" s="9">
        <v>8762</v>
      </c>
      <c r="B8765" s="10" t="s">
        <v>8339</v>
      </c>
      <c r="C8765" s="10" t="s">
        <v>8340</v>
      </c>
      <c r="D8765" s="10" t="s">
        <v>8370</v>
      </c>
      <c r="E8765" s="10" t="str">
        <f>"644020240513093324172839"</f>
        <v>644020240513093324172839</v>
      </c>
      <c r="F8765" s="9"/>
    </row>
    <row r="8766" s="2" customFormat="1" ht="30" customHeight="1" spans="1:6">
      <c r="A8766" s="9">
        <v>8763</v>
      </c>
      <c r="B8766" s="10" t="s">
        <v>8339</v>
      </c>
      <c r="C8766" s="10" t="s">
        <v>8340</v>
      </c>
      <c r="D8766" s="10" t="s">
        <v>8371</v>
      </c>
      <c r="E8766" s="10" t="str">
        <f>"644020240512202752170826"</f>
        <v>644020240512202752170826</v>
      </c>
      <c r="F8766" s="9"/>
    </row>
    <row r="8767" s="2" customFormat="1" ht="30" customHeight="1" spans="1:6">
      <c r="A8767" s="9">
        <v>8764</v>
      </c>
      <c r="B8767" s="10" t="s">
        <v>8339</v>
      </c>
      <c r="C8767" s="10" t="s">
        <v>8340</v>
      </c>
      <c r="D8767" s="10" t="s">
        <v>8372</v>
      </c>
      <c r="E8767" s="10" t="str">
        <f>"644020240513110210173712"</f>
        <v>644020240513110210173712</v>
      </c>
      <c r="F8767" s="9"/>
    </row>
    <row r="8768" s="2" customFormat="1" ht="30" customHeight="1" spans="1:6">
      <c r="A8768" s="9">
        <v>8765</v>
      </c>
      <c r="B8768" s="10" t="s">
        <v>8339</v>
      </c>
      <c r="C8768" s="10" t="s">
        <v>8340</v>
      </c>
      <c r="D8768" s="10" t="s">
        <v>8373</v>
      </c>
      <c r="E8768" s="10" t="str">
        <f>"644020240512095134168330"</f>
        <v>644020240512095134168330</v>
      </c>
      <c r="F8768" s="9"/>
    </row>
    <row r="8769" s="2" customFormat="1" ht="30" customHeight="1" spans="1:6">
      <c r="A8769" s="9">
        <v>8766</v>
      </c>
      <c r="B8769" s="10" t="s">
        <v>8339</v>
      </c>
      <c r="C8769" s="10" t="s">
        <v>8340</v>
      </c>
      <c r="D8769" s="10" t="s">
        <v>8374</v>
      </c>
      <c r="E8769" s="10" t="str">
        <f>"644020240513121329174208"</f>
        <v>644020240513121329174208</v>
      </c>
      <c r="F8769" s="9"/>
    </row>
    <row r="8770" s="2" customFormat="1" ht="30" customHeight="1" spans="1:6">
      <c r="A8770" s="9">
        <v>8767</v>
      </c>
      <c r="B8770" s="10" t="s">
        <v>8339</v>
      </c>
      <c r="C8770" s="10" t="s">
        <v>8340</v>
      </c>
      <c r="D8770" s="10" t="s">
        <v>8375</v>
      </c>
      <c r="E8770" s="10" t="str">
        <f>"644020240512213847171191"</f>
        <v>644020240512213847171191</v>
      </c>
      <c r="F8770" s="9"/>
    </row>
    <row r="8771" s="2" customFormat="1" ht="30" customHeight="1" spans="1:6">
      <c r="A8771" s="9">
        <v>8768</v>
      </c>
      <c r="B8771" s="10" t="s">
        <v>8339</v>
      </c>
      <c r="C8771" s="10" t="s">
        <v>8340</v>
      </c>
      <c r="D8771" s="10" t="s">
        <v>1889</v>
      </c>
      <c r="E8771" s="10" t="str">
        <f>"644020240512204640170919"</f>
        <v>644020240512204640170919</v>
      </c>
      <c r="F8771" s="9"/>
    </row>
    <row r="8772" s="2" customFormat="1" ht="30" customHeight="1" spans="1:6">
      <c r="A8772" s="9">
        <v>8769</v>
      </c>
      <c r="B8772" s="10" t="s">
        <v>8339</v>
      </c>
      <c r="C8772" s="10" t="s">
        <v>8340</v>
      </c>
      <c r="D8772" s="10" t="s">
        <v>8376</v>
      </c>
      <c r="E8772" s="10" t="str">
        <f>"644020240513123808174347"</f>
        <v>644020240513123808174347</v>
      </c>
      <c r="F8772" s="9"/>
    </row>
    <row r="8773" s="2" customFormat="1" ht="30" customHeight="1" spans="1:6">
      <c r="A8773" s="9">
        <v>8770</v>
      </c>
      <c r="B8773" s="10" t="s">
        <v>8339</v>
      </c>
      <c r="C8773" s="10" t="s">
        <v>8340</v>
      </c>
      <c r="D8773" s="10" t="s">
        <v>8377</v>
      </c>
      <c r="E8773" s="10" t="str">
        <f>"644020240513125709174497"</f>
        <v>644020240513125709174497</v>
      </c>
      <c r="F8773" s="9"/>
    </row>
    <row r="8774" s="2" customFormat="1" ht="30" customHeight="1" spans="1:6">
      <c r="A8774" s="9">
        <v>8771</v>
      </c>
      <c r="B8774" s="10" t="s">
        <v>8339</v>
      </c>
      <c r="C8774" s="10" t="s">
        <v>8340</v>
      </c>
      <c r="D8774" s="10" t="s">
        <v>8378</v>
      </c>
      <c r="E8774" s="10" t="str">
        <f>"644020240513135543174772"</f>
        <v>644020240513135543174772</v>
      </c>
      <c r="F8774" s="9"/>
    </row>
    <row r="8775" s="2" customFormat="1" ht="30" customHeight="1" spans="1:6">
      <c r="A8775" s="9">
        <v>8772</v>
      </c>
      <c r="B8775" s="10" t="s">
        <v>8339</v>
      </c>
      <c r="C8775" s="10" t="s">
        <v>8340</v>
      </c>
      <c r="D8775" s="10" t="s">
        <v>8379</v>
      </c>
      <c r="E8775" s="10" t="str">
        <f>"644020240513145431175139"</f>
        <v>644020240513145431175139</v>
      </c>
      <c r="F8775" s="9"/>
    </row>
    <row r="8776" s="2" customFormat="1" ht="30" customHeight="1" spans="1:6">
      <c r="A8776" s="9">
        <v>8773</v>
      </c>
      <c r="B8776" s="10" t="s">
        <v>8339</v>
      </c>
      <c r="C8776" s="10" t="s">
        <v>8340</v>
      </c>
      <c r="D8776" s="10" t="s">
        <v>8380</v>
      </c>
      <c r="E8776" s="10" t="str">
        <f>"644020240513151253175298"</f>
        <v>644020240513151253175298</v>
      </c>
      <c r="F8776" s="9"/>
    </row>
    <row r="8777" s="2" customFormat="1" ht="30" customHeight="1" spans="1:6">
      <c r="A8777" s="9">
        <v>8774</v>
      </c>
      <c r="B8777" s="10" t="s">
        <v>8339</v>
      </c>
      <c r="C8777" s="10" t="s">
        <v>8340</v>
      </c>
      <c r="D8777" s="10" t="s">
        <v>1819</v>
      </c>
      <c r="E8777" s="10" t="str">
        <f>"644020240513154845175660"</f>
        <v>644020240513154845175660</v>
      </c>
      <c r="F8777" s="9"/>
    </row>
    <row r="8778" s="2" customFormat="1" ht="30" customHeight="1" spans="1:6">
      <c r="A8778" s="9">
        <v>8775</v>
      </c>
      <c r="B8778" s="10" t="s">
        <v>8339</v>
      </c>
      <c r="C8778" s="10" t="s">
        <v>8340</v>
      </c>
      <c r="D8778" s="10" t="s">
        <v>8381</v>
      </c>
      <c r="E8778" s="10" t="str">
        <f>"644020240513155121175692"</f>
        <v>644020240513155121175692</v>
      </c>
      <c r="F8778" s="9"/>
    </row>
    <row r="8779" s="2" customFormat="1" ht="30" customHeight="1" spans="1:6">
      <c r="A8779" s="9">
        <v>8776</v>
      </c>
      <c r="B8779" s="10" t="s">
        <v>8339</v>
      </c>
      <c r="C8779" s="10" t="s">
        <v>8340</v>
      </c>
      <c r="D8779" s="10" t="s">
        <v>8382</v>
      </c>
      <c r="E8779" s="10" t="str">
        <f>"644020240513091021172598"</f>
        <v>644020240513091021172598</v>
      </c>
      <c r="F8779" s="9"/>
    </row>
    <row r="8780" s="2" customFormat="1" ht="30" customHeight="1" spans="1:6">
      <c r="A8780" s="9">
        <v>8777</v>
      </c>
      <c r="B8780" s="10" t="s">
        <v>8339</v>
      </c>
      <c r="C8780" s="10" t="s">
        <v>8340</v>
      </c>
      <c r="D8780" s="10" t="s">
        <v>93</v>
      </c>
      <c r="E8780" s="10" t="str">
        <f>"644020240513094425172952"</f>
        <v>644020240513094425172952</v>
      </c>
      <c r="F8780" s="9"/>
    </row>
    <row r="8781" s="2" customFormat="1" ht="30" customHeight="1" spans="1:6">
      <c r="A8781" s="9">
        <v>8778</v>
      </c>
      <c r="B8781" s="10" t="s">
        <v>8339</v>
      </c>
      <c r="C8781" s="10" t="s">
        <v>8340</v>
      </c>
      <c r="D8781" s="10" t="s">
        <v>8383</v>
      </c>
      <c r="E8781" s="10" t="str">
        <f>"644020240513165550176073"</f>
        <v>644020240513165550176073</v>
      </c>
      <c r="F8781" s="9"/>
    </row>
    <row r="8782" s="2" customFormat="1" ht="30" customHeight="1" spans="1:6">
      <c r="A8782" s="9">
        <v>8779</v>
      </c>
      <c r="B8782" s="10" t="s">
        <v>8339</v>
      </c>
      <c r="C8782" s="10" t="s">
        <v>8340</v>
      </c>
      <c r="D8782" s="10" t="s">
        <v>8384</v>
      </c>
      <c r="E8782" s="10" t="str">
        <f>"644020240513164018176000"</f>
        <v>644020240513164018176000</v>
      </c>
      <c r="F8782" s="9"/>
    </row>
    <row r="8783" s="2" customFormat="1" ht="30" customHeight="1" spans="1:6">
      <c r="A8783" s="9">
        <v>8780</v>
      </c>
      <c r="B8783" s="10" t="s">
        <v>8339</v>
      </c>
      <c r="C8783" s="10" t="s">
        <v>8340</v>
      </c>
      <c r="D8783" s="10" t="s">
        <v>8385</v>
      </c>
      <c r="E8783" s="10" t="str">
        <f>"644020240512184749170472"</f>
        <v>644020240512184749170472</v>
      </c>
      <c r="F8783" s="9"/>
    </row>
    <row r="8784" s="2" customFormat="1" ht="30" customHeight="1" spans="1:6">
      <c r="A8784" s="9">
        <v>8781</v>
      </c>
      <c r="B8784" s="10" t="s">
        <v>8339</v>
      </c>
      <c r="C8784" s="10" t="s">
        <v>8340</v>
      </c>
      <c r="D8784" s="10" t="s">
        <v>8386</v>
      </c>
      <c r="E8784" s="10" t="str">
        <f>"644020240513174849176306"</f>
        <v>644020240513174849176306</v>
      </c>
      <c r="F8784" s="9"/>
    </row>
    <row r="8785" s="2" customFormat="1" ht="30" customHeight="1" spans="1:6">
      <c r="A8785" s="9">
        <v>8782</v>
      </c>
      <c r="B8785" s="10" t="s">
        <v>8339</v>
      </c>
      <c r="C8785" s="10" t="s">
        <v>8340</v>
      </c>
      <c r="D8785" s="10" t="s">
        <v>8387</v>
      </c>
      <c r="E8785" s="10" t="str">
        <f>"644020240513120444174163"</f>
        <v>644020240513120444174163</v>
      </c>
      <c r="F8785" s="9"/>
    </row>
    <row r="8786" s="2" customFormat="1" ht="30" customHeight="1" spans="1:6">
      <c r="A8786" s="9">
        <v>8783</v>
      </c>
      <c r="B8786" s="10" t="s">
        <v>8339</v>
      </c>
      <c r="C8786" s="10" t="s">
        <v>8340</v>
      </c>
      <c r="D8786" s="10" t="s">
        <v>8388</v>
      </c>
      <c r="E8786" s="10" t="str">
        <f>"644020240513182555176416"</f>
        <v>644020240513182555176416</v>
      </c>
      <c r="F8786" s="9"/>
    </row>
    <row r="8787" s="2" customFormat="1" ht="30" customHeight="1" spans="1:6">
      <c r="A8787" s="9">
        <v>8784</v>
      </c>
      <c r="B8787" s="10" t="s">
        <v>8339</v>
      </c>
      <c r="C8787" s="10" t="s">
        <v>8340</v>
      </c>
      <c r="D8787" s="10" t="s">
        <v>8389</v>
      </c>
      <c r="E8787" s="10" t="str">
        <f>"644020240512183338170409"</f>
        <v>644020240512183338170409</v>
      </c>
      <c r="F8787" s="9"/>
    </row>
    <row r="8788" s="2" customFormat="1" ht="30" customHeight="1" spans="1:6">
      <c r="A8788" s="9">
        <v>8785</v>
      </c>
      <c r="B8788" s="10" t="s">
        <v>8339</v>
      </c>
      <c r="C8788" s="10" t="s">
        <v>8340</v>
      </c>
      <c r="D8788" s="10" t="s">
        <v>4137</v>
      </c>
      <c r="E8788" s="10" t="str">
        <f>"644020240513183053176429"</f>
        <v>644020240513183053176429</v>
      </c>
      <c r="F8788" s="9"/>
    </row>
    <row r="8789" s="2" customFormat="1" ht="30" customHeight="1" spans="1:6">
      <c r="A8789" s="9">
        <v>8786</v>
      </c>
      <c r="B8789" s="10" t="s">
        <v>8339</v>
      </c>
      <c r="C8789" s="10" t="s">
        <v>8340</v>
      </c>
      <c r="D8789" s="10" t="s">
        <v>8390</v>
      </c>
      <c r="E8789" s="10" t="str">
        <f>"644020240513185153176484"</f>
        <v>644020240513185153176484</v>
      </c>
      <c r="F8789" s="9"/>
    </row>
    <row r="8790" s="2" customFormat="1" ht="30" customHeight="1" spans="1:6">
      <c r="A8790" s="9">
        <v>8787</v>
      </c>
      <c r="B8790" s="10" t="s">
        <v>8339</v>
      </c>
      <c r="C8790" s="10" t="s">
        <v>8340</v>
      </c>
      <c r="D8790" s="10" t="s">
        <v>8391</v>
      </c>
      <c r="E8790" s="10" t="str">
        <f>"644020240513175946176343"</f>
        <v>644020240513175946176343</v>
      </c>
      <c r="F8790" s="9"/>
    </row>
    <row r="8791" s="2" customFormat="1" ht="30" customHeight="1" spans="1:6">
      <c r="A8791" s="9">
        <v>8788</v>
      </c>
      <c r="B8791" s="10" t="s">
        <v>8339</v>
      </c>
      <c r="C8791" s="10" t="s">
        <v>8340</v>
      </c>
      <c r="D8791" s="10" t="s">
        <v>8392</v>
      </c>
      <c r="E8791" s="10" t="str">
        <f>"644020240513151844175358"</f>
        <v>644020240513151844175358</v>
      </c>
      <c r="F8791" s="9"/>
    </row>
    <row r="8792" s="2" customFormat="1" ht="30" customHeight="1" spans="1:6">
      <c r="A8792" s="9">
        <v>8789</v>
      </c>
      <c r="B8792" s="10" t="s">
        <v>8339</v>
      </c>
      <c r="C8792" s="10" t="s">
        <v>8340</v>
      </c>
      <c r="D8792" s="10" t="s">
        <v>8393</v>
      </c>
      <c r="E8792" s="10" t="str">
        <f>"644020240512182040170361"</f>
        <v>644020240512182040170361</v>
      </c>
      <c r="F8792" s="9"/>
    </row>
    <row r="8793" s="2" customFormat="1" ht="30" customHeight="1" spans="1:6">
      <c r="A8793" s="9">
        <v>8790</v>
      </c>
      <c r="B8793" s="10" t="s">
        <v>8339</v>
      </c>
      <c r="C8793" s="10" t="s">
        <v>8340</v>
      </c>
      <c r="D8793" s="10" t="s">
        <v>8394</v>
      </c>
      <c r="E8793" s="10" t="str">
        <f>"644020240513154249175591"</f>
        <v>644020240513154249175591</v>
      </c>
      <c r="F8793" s="9"/>
    </row>
    <row r="8794" s="2" customFormat="1" ht="30" customHeight="1" spans="1:6">
      <c r="A8794" s="9">
        <v>8791</v>
      </c>
      <c r="B8794" s="10" t="s">
        <v>8339</v>
      </c>
      <c r="C8794" s="10" t="s">
        <v>8340</v>
      </c>
      <c r="D8794" s="10" t="s">
        <v>8395</v>
      </c>
      <c r="E8794" s="10" t="str">
        <f>"644020240512184722170470"</f>
        <v>644020240512184722170470</v>
      </c>
      <c r="F8794" s="9"/>
    </row>
    <row r="8795" s="2" customFormat="1" ht="30" customHeight="1" spans="1:6">
      <c r="A8795" s="9">
        <v>8792</v>
      </c>
      <c r="B8795" s="10" t="s">
        <v>8339</v>
      </c>
      <c r="C8795" s="10" t="s">
        <v>8340</v>
      </c>
      <c r="D8795" s="10" t="s">
        <v>8396</v>
      </c>
      <c r="E8795" s="10" t="str">
        <f>"644020240513194319176668"</f>
        <v>644020240513194319176668</v>
      </c>
      <c r="F8795" s="9"/>
    </row>
    <row r="8796" s="2" customFormat="1" ht="30" customHeight="1" spans="1:6">
      <c r="A8796" s="9">
        <v>8793</v>
      </c>
      <c r="B8796" s="10" t="s">
        <v>8339</v>
      </c>
      <c r="C8796" s="10" t="s">
        <v>8340</v>
      </c>
      <c r="D8796" s="10" t="s">
        <v>4846</v>
      </c>
      <c r="E8796" s="10" t="str">
        <f>"644020240513185624176499"</f>
        <v>644020240513185624176499</v>
      </c>
      <c r="F8796" s="9"/>
    </row>
    <row r="8797" s="2" customFormat="1" ht="30" customHeight="1" spans="1:6">
      <c r="A8797" s="9">
        <v>8794</v>
      </c>
      <c r="B8797" s="10" t="s">
        <v>8339</v>
      </c>
      <c r="C8797" s="10" t="s">
        <v>8340</v>
      </c>
      <c r="D8797" s="10" t="s">
        <v>8397</v>
      </c>
      <c r="E8797" s="10" t="str">
        <f>"644020240513195442176707"</f>
        <v>644020240513195442176707</v>
      </c>
      <c r="F8797" s="9"/>
    </row>
    <row r="8798" s="2" customFormat="1" ht="30" customHeight="1" spans="1:6">
      <c r="A8798" s="9">
        <v>8795</v>
      </c>
      <c r="B8798" s="10" t="s">
        <v>8339</v>
      </c>
      <c r="C8798" s="10" t="s">
        <v>8340</v>
      </c>
      <c r="D8798" s="10" t="s">
        <v>8398</v>
      </c>
      <c r="E8798" s="10" t="str">
        <f>"644020240512102136168510"</f>
        <v>644020240512102136168510</v>
      </c>
      <c r="F8798" s="9"/>
    </row>
    <row r="8799" s="2" customFormat="1" ht="30" customHeight="1" spans="1:6">
      <c r="A8799" s="9">
        <v>8796</v>
      </c>
      <c r="B8799" s="10" t="s">
        <v>8339</v>
      </c>
      <c r="C8799" s="10" t="s">
        <v>8340</v>
      </c>
      <c r="D8799" s="10" t="s">
        <v>6187</v>
      </c>
      <c r="E8799" s="10" t="str">
        <f>"644020240513202806176819"</f>
        <v>644020240513202806176819</v>
      </c>
      <c r="F8799" s="9"/>
    </row>
    <row r="8800" s="2" customFormat="1" ht="30" customHeight="1" spans="1:6">
      <c r="A8800" s="9">
        <v>8797</v>
      </c>
      <c r="B8800" s="10" t="s">
        <v>8339</v>
      </c>
      <c r="C8800" s="10" t="s">
        <v>8340</v>
      </c>
      <c r="D8800" s="10" t="s">
        <v>8399</v>
      </c>
      <c r="E8800" s="10" t="str">
        <f>"644020240513210646176987"</f>
        <v>644020240513210646176987</v>
      </c>
      <c r="F8800" s="9"/>
    </row>
    <row r="8801" s="2" customFormat="1" ht="30" customHeight="1" spans="1:6">
      <c r="A8801" s="9">
        <v>8798</v>
      </c>
      <c r="B8801" s="10" t="s">
        <v>8339</v>
      </c>
      <c r="C8801" s="10" t="s">
        <v>8340</v>
      </c>
      <c r="D8801" s="10" t="s">
        <v>8400</v>
      </c>
      <c r="E8801" s="10" t="str">
        <f>"644020240513205832176951"</f>
        <v>644020240513205832176951</v>
      </c>
      <c r="F8801" s="9"/>
    </row>
    <row r="8802" s="2" customFormat="1" ht="30" customHeight="1" spans="1:6">
      <c r="A8802" s="9">
        <v>8799</v>
      </c>
      <c r="B8802" s="10" t="s">
        <v>8339</v>
      </c>
      <c r="C8802" s="10" t="s">
        <v>8340</v>
      </c>
      <c r="D8802" s="10" t="s">
        <v>8401</v>
      </c>
      <c r="E8802" s="10" t="str">
        <f>"644020240512202508170814"</f>
        <v>644020240512202508170814</v>
      </c>
      <c r="F8802" s="9"/>
    </row>
    <row r="8803" s="2" customFormat="1" ht="30" customHeight="1" spans="1:6">
      <c r="A8803" s="9">
        <v>8800</v>
      </c>
      <c r="B8803" s="10" t="s">
        <v>8339</v>
      </c>
      <c r="C8803" s="10" t="s">
        <v>8340</v>
      </c>
      <c r="D8803" s="10" t="s">
        <v>8402</v>
      </c>
      <c r="E8803" s="10" t="str">
        <f>"644020240513200912176759"</f>
        <v>644020240513200912176759</v>
      </c>
      <c r="F8803" s="9"/>
    </row>
    <row r="8804" s="2" customFormat="1" ht="30" customHeight="1" spans="1:6">
      <c r="A8804" s="9">
        <v>8801</v>
      </c>
      <c r="B8804" s="10" t="s">
        <v>8339</v>
      </c>
      <c r="C8804" s="10" t="s">
        <v>8340</v>
      </c>
      <c r="D8804" s="10" t="s">
        <v>8403</v>
      </c>
      <c r="E8804" s="10" t="str">
        <f>"644020240512215705171306"</f>
        <v>644020240512215705171306</v>
      </c>
      <c r="F8804" s="9"/>
    </row>
    <row r="8805" s="2" customFormat="1" ht="30" customHeight="1" spans="1:6">
      <c r="A8805" s="9">
        <v>8802</v>
      </c>
      <c r="B8805" s="10" t="s">
        <v>8339</v>
      </c>
      <c r="C8805" s="10" t="s">
        <v>8340</v>
      </c>
      <c r="D8805" s="10" t="s">
        <v>8404</v>
      </c>
      <c r="E8805" s="10" t="str">
        <f>"644020240514023146177753"</f>
        <v>644020240514023146177753</v>
      </c>
      <c r="F8805" s="9"/>
    </row>
    <row r="8806" s="2" customFormat="1" ht="30" customHeight="1" spans="1:6">
      <c r="A8806" s="9">
        <v>8803</v>
      </c>
      <c r="B8806" s="10" t="s">
        <v>8339</v>
      </c>
      <c r="C8806" s="10" t="s">
        <v>8340</v>
      </c>
      <c r="D8806" s="10" t="s">
        <v>6305</v>
      </c>
      <c r="E8806" s="10" t="str">
        <f>"644020240513114215174044"</f>
        <v>644020240513114215174044</v>
      </c>
      <c r="F8806" s="9"/>
    </row>
    <row r="8807" s="2" customFormat="1" ht="30" customHeight="1" spans="1:6">
      <c r="A8807" s="9">
        <v>8804</v>
      </c>
      <c r="B8807" s="10" t="s">
        <v>8339</v>
      </c>
      <c r="C8807" s="10" t="s">
        <v>8340</v>
      </c>
      <c r="D8807" s="10" t="s">
        <v>8405</v>
      </c>
      <c r="E8807" s="10" t="str">
        <f>"644020240514081608177829"</f>
        <v>644020240514081608177829</v>
      </c>
      <c r="F8807" s="9"/>
    </row>
    <row r="8808" s="2" customFormat="1" ht="30" customHeight="1" spans="1:6">
      <c r="A8808" s="9">
        <v>8805</v>
      </c>
      <c r="B8808" s="10" t="s">
        <v>8339</v>
      </c>
      <c r="C8808" s="10" t="s">
        <v>8340</v>
      </c>
      <c r="D8808" s="10" t="s">
        <v>8406</v>
      </c>
      <c r="E8808" s="10" t="str">
        <f>"644020240514090331177978"</f>
        <v>644020240514090331177978</v>
      </c>
      <c r="F8808" s="9"/>
    </row>
    <row r="8809" s="2" customFormat="1" ht="30" customHeight="1" spans="1:6">
      <c r="A8809" s="9">
        <v>8806</v>
      </c>
      <c r="B8809" s="10" t="s">
        <v>8339</v>
      </c>
      <c r="C8809" s="10" t="s">
        <v>8340</v>
      </c>
      <c r="D8809" s="10" t="s">
        <v>8407</v>
      </c>
      <c r="E8809" s="10" t="str">
        <f>"644020240513192852176608"</f>
        <v>644020240513192852176608</v>
      </c>
      <c r="F8809" s="9"/>
    </row>
    <row r="8810" s="2" customFormat="1" ht="30" customHeight="1" spans="1:6">
      <c r="A8810" s="9">
        <v>8807</v>
      </c>
      <c r="B8810" s="10" t="s">
        <v>8339</v>
      </c>
      <c r="C8810" s="10" t="s">
        <v>8340</v>
      </c>
      <c r="D8810" s="10" t="s">
        <v>8408</v>
      </c>
      <c r="E8810" s="10" t="str">
        <f>"644020240514092750178101"</f>
        <v>644020240514092750178101</v>
      </c>
      <c r="F8810" s="9"/>
    </row>
    <row r="8811" s="2" customFormat="1" ht="30" customHeight="1" spans="1:6">
      <c r="A8811" s="9">
        <v>8808</v>
      </c>
      <c r="B8811" s="10" t="s">
        <v>8339</v>
      </c>
      <c r="C8811" s="10" t="s">
        <v>8340</v>
      </c>
      <c r="D8811" s="10" t="s">
        <v>8409</v>
      </c>
      <c r="E8811" s="10" t="str">
        <f>"644020240514104126178501"</f>
        <v>644020240514104126178501</v>
      </c>
      <c r="F8811" s="9"/>
    </row>
    <row r="8812" s="2" customFormat="1" ht="30" customHeight="1" spans="1:6">
      <c r="A8812" s="9">
        <v>8809</v>
      </c>
      <c r="B8812" s="10" t="s">
        <v>8339</v>
      </c>
      <c r="C8812" s="10" t="s">
        <v>8340</v>
      </c>
      <c r="D8812" s="10" t="s">
        <v>807</v>
      </c>
      <c r="E8812" s="10" t="str">
        <f>"644020240514110400178616"</f>
        <v>644020240514110400178616</v>
      </c>
      <c r="F8812" s="9"/>
    </row>
    <row r="8813" s="2" customFormat="1" ht="30" customHeight="1" spans="1:6">
      <c r="A8813" s="9">
        <v>8810</v>
      </c>
      <c r="B8813" s="10" t="s">
        <v>8339</v>
      </c>
      <c r="C8813" s="10" t="s">
        <v>8340</v>
      </c>
      <c r="D8813" s="10" t="s">
        <v>6047</v>
      </c>
      <c r="E8813" s="10" t="str">
        <f>"644020240514093008178111"</f>
        <v>644020240514093008178111</v>
      </c>
      <c r="F8813" s="9"/>
    </row>
    <row r="8814" s="2" customFormat="1" ht="30" customHeight="1" spans="1:6">
      <c r="A8814" s="9">
        <v>8811</v>
      </c>
      <c r="B8814" s="10" t="s">
        <v>8339</v>
      </c>
      <c r="C8814" s="10" t="s">
        <v>8340</v>
      </c>
      <c r="D8814" s="10" t="s">
        <v>8410</v>
      </c>
      <c r="E8814" s="10" t="str">
        <f>"644020240514094721178206"</f>
        <v>644020240514094721178206</v>
      </c>
      <c r="F8814" s="9"/>
    </row>
    <row r="8815" s="2" customFormat="1" ht="30" customHeight="1" spans="1:6">
      <c r="A8815" s="9">
        <v>8812</v>
      </c>
      <c r="B8815" s="10" t="s">
        <v>8339</v>
      </c>
      <c r="C8815" s="10" t="s">
        <v>8340</v>
      </c>
      <c r="D8815" s="10" t="s">
        <v>810</v>
      </c>
      <c r="E8815" s="10" t="str">
        <f>"644020240514113204178734"</f>
        <v>644020240514113204178734</v>
      </c>
      <c r="F8815" s="9"/>
    </row>
    <row r="8816" s="2" customFormat="1" ht="30" customHeight="1" spans="1:6">
      <c r="A8816" s="9">
        <v>8813</v>
      </c>
      <c r="B8816" s="10" t="s">
        <v>8339</v>
      </c>
      <c r="C8816" s="10" t="s">
        <v>8340</v>
      </c>
      <c r="D8816" s="10" t="s">
        <v>8411</v>
      </c>
      <c r="E8816" s="10" t="str">
        <f>"644020240514113114178728"</f>
        <v>644020240514113114178728</v>
      </c>
      <c r="F8816" s="9"/>
    </row>
    <row r="8817" s="2" customFormat="1" ht="30" customHeight="1" spans="1:6">
      <c r="A8817" s="9">
        <v>8814</v>
      </c>
      <c r="B8817" s="10" t="s">
        <v>8339</v>
      </c>
      <c r="C8817" s="10" t="s">
        <v>8340</v>
      </c>
      <c r="D8817" s="10" t="s">
        <v>6664</v>
      </c>
      <c r="E8817" s="10" t="str">
        <f>"644020240514115130178803"</f>
        <v>644020240514115130178803</v>
      </c>
      <c r="F8817" s="9"/>
    </row>
    <row r="8818" s="2" customFormat="1" ht="30" customHeight="1" spans="1:6">
      <c r="A8818" s="9">
        <v>8815</v>
      </c>
      <c r="B8818" s="10" t="s">
        <v>8339</v>
      </c>
      <c r="C8818" s="10" t="s">
        <v>8340</v>
      </c>
      <c r="D8818" s="10" t="s">
        <v>8412</v>
      </c>
      <c r="E8818" s="10" t="str">
        <f>"644020240514110859178634"</f>
        <v>644020240514110859178634</v>
      </c>
      <c r="F8818" s="9"/>
    </row>
    <row r="8819" s="2" customFormat="1" ht="30" customHeight="1" spans="1:6">
      <c r="A8819" s="9">
        <v>8816</v>
      </c>
      <c r="B8819" s="10" t="s">
        <v>8339</v>
      </c>
      <c r="C8819" s="10" t="s">
        <v>8340</v>
      </c>
      <c r="D8819" s="10" t="s">
        <v>8413</v>
      </c>
      <c r="E8819" s="10" t="str">
        <f>"644020240514120525178834"</f>
        <v>644020240514120525178834</v>
      </c>
      <c r="F8819" s="9"/>
    </row>
    <row r="8820" s="2" customFormat="1" ht="30" customHeight="1" spans="1:6">
      <c r="A8820" s="9">
        <v>8817</v>
      </c>
      <c r="B8820" s="10" t="s">
        <v>8339</v>
      </c>
      <c r="C8820" s="10" t="s">
        <v>8340</v>
      </c>
      <c r="D8820" s="10" t="s">
        <v>8414</v>
      </c>
      <c r="E8820" s="10" t="str">
        <f>"644020240513210453176977"</f>
        <v>644020240513210453176977</v>
      </c>
      <c r="F8820" s="9"/>
    </row>
    <row r="8821" s="2" customFormat="1" ht="30" customHeight="1" spans="1:6">
      <c r="A8821" s="9">
        <v>8818</v>
      </c>
      <c r="B8821" s="10" t="s">
        <v>8339</v>
      </c>
      <c r="C8821" s="10" t="s">
        <v>8340</v>
      </c>
      <c r="D8821" s="10" t="s">
        <v>8415</v>
      </c>
      <c r="E8821" s="10" t="str">
        <f>"644020240514103450178463"</f>
        <v>644020240514103450178463</v>
      </c>
      <c r="F8821" s="9"/>
    </row>
    <row r="8822" s="2" customFormat="1" ht="30" customHeight="1" spans="1:6">
      <c r="A8822" s="9">
        <v>8819</v>
      </c>
      <c r="B8822" s="10" t="s">
        <v>8339</v>
      </c>
      <c r="C8822" s="10" t="s">
        <v>8340</v>
      </c>
      <c r="D8822" s="10" t="s">
        <v>8416</v>
      </c>
      <c r="E8822" s="10" t="str">
        <f>"644020240514115705178814"</f>
        <v>644020240514115705178814</v>
      </c>
      <c r="F8822" s="9"/>
    </row>
    <row r="8823" s="2" customFormat="1" ht="30" customHeight="1" spans="1:6">
      <c r="A8823" s="9">
        <v>8820</v>
      </c>
      <c r="B8823" s="10" t="s">
        <v>8339</v>
      </c>
      <c r="C8823" s="10" t="s">
        <v>8340</v>
      </c>
      <c r="D8823" s="10" t="s">
        <v>8417</v>
      </c>
      <c r="E8823" s="10" t="str">
        <f>"644020240512125054169209"</f>
        <v>644020240512125054169209</v>
      </c>
      <c r="F8823" s="9"/>
    </row>
    <row r="8824" s="2" customFormat="1" ht="30" customHeight="1" spans="1:6">
      <c r="A8824" s="9">
        <v>8821</v>
      </c>
      <c r="B8824" s="10" t="s">
        <v>8339</v>
      </c>
      <c r="C8824" s="10" t="s">
        <v>8340</v>
      </c>
      <c r="D8824" s="10" t="s">
        <v>8418</v>
      </c>
      <c r="E8824" s="10" t="str">
        <f>"644020240513185536176494"</f>
        <v>644020240513185536176494</v>
      </c>
      <c r="F8824" s="9"/>
    </row>
    <row r="8825" s="2" customFormat="1" ht="30" customHeight="1" spans="1:6">
      <c r="A8825" s="9">
        <v>8822</v>
      </c>
      <c r="B8825" s="10" t="s">
        <v>8339</v>
      </c>
      <c r="C8825" s="10" t="s">
        <v>8340</v>
      </c>
      <c r="D8825" s="10" t="s">
        <v>8419</v>
      </c>
      <c r="E8825" s="10" t="str">
        <f>"644020240512182707170389"</f>
        <v>644020240512182707170389</v>
      </c>
      <c r="F8825" s="9"/>
    </row>
    <row r="8826" s="2" customFormat="1" ht="30" customHeight="1" spans="1:6">
      <c r="A8826" s="9">
        <v>8823</v>
      </c>
      <c r="B8826" s="10" t="s">
        <v>8339</v>
      </c>
      <c r="C8826" s="10" t="s">
        <v>8340</v>
      </c>
      <c r="D8826" s="10" t="s">
        <v>8420</v>
      </c>
      <c r="E8826" s="10" t="str">
        <f>"644020240513215842177214"</f>
        <v>644020240513215842177214</v>
      </c>
      <c r="F8826" s="9"/>
    </row>
    <row r="8827" s="2" customFormat="1" ht="30" customHeight="1" spans="1:6">
      <c r="A8827" s="9">
        <v>8824</v>
      </c>
      <c r="B8827" s="10" t="s">
        <v>8339</v>
      </c>
      <c r="C8827" s="10" t="s">
        <v>8340</v>
      </c>
      <c r="D8827" s="10" t="s">
        <v>8421</v>
      </c>
      <c r="E8827" s="10" t="str">
        <f>"644020240514152434179274"</f>
        <v>644020240514152434179274</v>
      </c>
      <c r="F8827" s="9"/>
    </row>
    <row r="8828" s="2" customFormat="1" ht="30" customHeight="1" spans="1:6">
      <c r="A8828" s="9">
        <v>8825</v>
      </c>
      <c r="B8828" s="10" t="s">
        <v>8339</v>
      </c>
      <c r="C8828" s="10" t="s">
        <v>8340</v>
      </c>
      <c r="D8828" s="10" t="s">
        <v>8422</v>
      </c>
      <c r="E8828" s="10" t="str">
        <f>"644020240513165329176064"</f>
        <v>644020240513165329176064</v>
      </c>
      <c r="F8828" s="9"/>
    </row>
    <row r="8829" s="2" customFormat="1" ht="30" customHeight="1" spans="1:6">
      <c r="A8829" s="9">
        <v>8826</v>
      </c>
      <c r="B8829" s="10" t="s">
        <v>8339</v>
      </c>
      <c r="C8829" s="10" t="s">
        <v>8340</v>
      </c>
      <c r="D8829" s="10" t="s">
        <v>8423</v>
      </c>
      <c r="E8829" s="10" t="str">
        <f>"644020240514152754179285"</f>
        <v>644020240514152754179285</v>
      </c>
      <c r="F8829" s="9"/>
    </row>
    <row r="8830" s="2" customFormat="1" ht="30" customHeight="1" spans="1:6">
      <c r="A8830" s="9">
        <v>8827</v>
      </c>
      <c r="B8830" s="10" t="s">
        <v>8339</v>
      </c>
      <c r="C8830" s="10" t="s">
        <v>8340</v>
      </c>
      <c r="D8830" s="10" t="s">
        <v>8424</v>
      </c>
      <c r="E8830" s="10" t="str">
        <f>"644020240513152121175385"</f>
        <v>644020240513152121175385</v>
      </c>
      <c r="F8830" s="9"/>
    </row>
    <row r="8831" s="2" customFormat="1" ht="30" customHeight="1" spans="1:6">
      <c r="A8831" s="9">
        <v>8828</v>
      </c>
      <c r="B8831" s="10" t="s">
        <v>8339</v>
      </c>
      <c r="C8831" s="10" t="s">
        <v>8340</v>
      </c>
      <c r="D8831" s="10" t="s">
        <v>8425</v>
      </c>
      <c r="E8831" s="10" t="str">
        <f>"644020240512110814168762"</f>
        <v>644020240512110814168762</v>
      </c>
      <c r="F8831" s="9"/>
    </row>
    <row r="8832" s="2" customFormat="1" ht="30" customHeight="1" spans="1:6">
      <c r="A8832" s="9">
        <v>8829</v>
      </c>
      <c r="B8832" s="10" t="s">
        <v>8339</v>
      </c>
      <c r="C8832" s="10" t="s">
        <v>8340</v>
      </c>
      <c r="D8832" s="10" t="s">
        <v>8426</v>
      </c>
      <c r="E8832" s="10" t="str">
        <f>"644020240513111433173822"</f>
        <v>644020240513111433173822</v>
      </c>
      <c r="F8832" s="9"/>
    </row>
    <row r="8833" s="2" customFormat="1" ht="30" customHeight="1" spans="1:6">
      <c r="A8833" s="9">
        <v>8830</v>
      </c>
      <c r="B8833" s="10" t="s">
        <v>8339</v>
      </c>
      <c r="C8833" s="10" t="s">
        <v>8340</v>
      </c>
      <c r="D8833" s="10" t="s">
        <v>8427</v>
      </c>
      <c r="E8833" s="10" t="str">
        <f>"644020240514164137179541"</f>
        <v>644020240514164137179541</v>
      </c>
      <c r="F8833" s="9"/>
    </row>
    <row r="8834" s="2" customFormat="1" ht="30" customHeight="1" spans="1:6">
      <c r="A8834" s="9">
        <v>8831</v>
      </c>
      <c r="B8834" s="10" t="s">
        <v>8339</v>
      </c>
      <c r="C8834" s="10" t="s">
        <v>8340</v>
      </c>
      <c r="D8834" s="10" t="s">
        <v>8428</v>
      </c>
      <c r="E8834" s="10" t="str">
        <f>"644020240514161432179444"</f>
        <v>644020240514161432179444</v>
      </c>
      <c r="F8834" s="9"/>
    </row>
    <row r="8835" s="2" customFormat="1" ht="30" customHeight="1" spans="1:6">
      <c r="A8835" s="9">
        <v>8832</v>
      </c>
      <c r="B8835" s="10" t="s">
        <v>8339</v>
      </c>
      <c r="C8835" s="10" t="s">
        <v>8340</v>
      </c>
      <c r="D8835" s="10" t="s">
        <v>8429</v>
      </c>
      <c r="E8835" s="10" t="str">
        <f>"644020240514160427179411"</f>
        <v>644020240514160427179411</v>
      </c>
      <c r="F8835" s="9"/>
    </row>
    <row r="8836" s="2" customFormat="1" ht="30" customHeight="1" spans="1:6">
      <c r="A8836" s="9">
        <v>8833</v>
      </c>
      <c r="B8836" s="10" t="s">
        <v>8339</v>
      </c>
      <c r="C8836" s="10" t="s">
        <v>8340</v>
      </c>
      <c r="D8836" s="10" t="s">
        <v>8430</v>
      </c>
      <c r="E8836" s="10" t="str">
        <f>"644020240513160625175821"</f>
        <v>644020240513160625175821</v>
      </c>
      <c r="F8836" s="9"/>
    </row>
    <row r="8837" s="2" customFormat="1" ht="30" customHeight="1" spans="1:6">
      <c r="A8837" s="9">
        <v>8834</v>
      </c>
      <c r="B8837" s="10" t="s">
        <v>8339</v>
      </c>
      <c r="C8837" s="10" t="s">
        <v>8340</v>
      </c>
      <c r="D8837" s="10" t="s">
        <v>8431</v>
      </c>
      <c r="E8837" s="10" t="str">
        <f>"644020240514163657179520"</f>
        <v>644020240514163657179520</v>
      </c>
      <c r="F8837" s="9"/>
    </row>
    <row r="8838" s="2" customFormat="1" ht="30" customHeight="1" spans="1:6">
      <c r="A8838" s="9">
        <v>8835</v>
      </c>
      <c r="B8838" s="10" t="s">
        <v>8339</v>
      </c>
      <c r="C8838" s="10" t="s">
        <v>8340</v>
      </c>
      <c r="D8838" s="10" t="s">
        <v>8432</v>
      </c>
      <c r="E8838" s="10" t="str">
        <f>"644020240513084034172356"</f>
        <v>644020240513084034172356</v>
      </c>
      <c r="F8838" s="9"/>
    </row>
    <row r="8839" s="2" customFormat="1" ht="30" customHeight="1" spans="1:6">
      <c r="A8839" s="9">
        <v>8836</v>
      </c>
      <c r="B8839" s="10" t="s">
        <v>8339</v>
      </c>
      <c r="C8839" s="10" t="s">
        <v>8340</v>
      </c>
      <c r="D8839" s="10" t="s">
        <v>8433</v>
      </c>
      <c r="E8839" s="10" t="str">
        <f>"644020240514174223179737"</f>
        <v>644020240514174223179737</v>
      </c>
      <c r="F8839" s="9"/>
    </row>
    <row r="8840" s="2" customFormat="1" ht="30" customHeight="1" spans="1:6">
      <c r="A8840" s="9">
        <v>8837</v>
      </c>
      <c r="B8840" s="10" t="s">
        <v>8339</v>
      </c>
      <c r="C8840" s="10" t="s">
        <v>8340</v>
      </c>
      <c r="D8840" s="10" t="s">
        <v>8434</v>
      </c>
      <c r="E8840" s="10" t="str">
        <f>"644020240514120723178838"</f>
        <v>644020240514120723178838</v>
      </c>
      <c r="F8840" s="9"/>
    </row>
    <row r="8841" s="2" customFormat="1" ht="30" customHeight="1" spans="1:6">
      <c r="A8841" s="9">
        <v>8838</v>
      </c>
      <c r="B8841" s="10" t="s">
        <v>8339</v>
      </c>
      <c r="C8841" s="10" t="s">
        <v>8340</v>
      </c>
      <c r="D8841" s="10" t="s">
        <v>8435</v>
      </c>
      <c r="E8841" s="10" t="str">
        <f>"644020240514174811179751"</f>
        <v>644020240514174811179751</v>
      </c>
      <c r="F8841" s="9"/>
    </row>
    <row r="8842" s="2" customFormat="1" ht="30" customHeight="1" spans="1:6">
      <c r="A8842" s="9">
        <v>8839</v>
      </c>
      <c r="B8842" s="10" t="s">
        <v>8339</v>
      </c>
      <c r="C8842" s="10" t="s">
        <v>8340</v>
      </c>
      <c r="D8842" s="10" t="s">
        <v>8436</v>
      </c>
      <c r="E8842" s="10" t="str">
        <f>"644020240514180651179793"</f>
        <v>644020240514180651179793</v>
      </c>
      <c r="F8842" s="9"/>
    </row>
    <row r="8843" s="2" customFormat="1" ht="30" customHeight="1" spans="1:6">
      <c r="A8843" s="9">
        <v>8840</v>
      </c>
      <c r="B8843" s="10" t="s">
        <v>8339</v>
      </c>
      <c r="C8843" s="10" t="s">
        <v>8340</v>
      </c>
      <c r="D8843" s="10" t="s">
        <v>8437</v>
      </c>
      <c r="E8843" s="10" t="str">
        <f>"644020240514170801179634"</f>
        <v>644020240514170801179634</v>
      </c>
      <c r="F8843" s="9"/>
    </row>
    <row r="8844" s="2" customFormat="1" ht="30" customHeight="1" spans="1:6">
      <c r="A8844" s="9">
        <v>8841</v>
      </c>
      <c r="B8844" s="10" t="s">
        <v>8339</v>
      </c>
      <c r="C8844" s="10" t="s">
        <v>8340</v>
      </c>
      <c r="D8844" s="10" t="s">
        <v>8438</v>
      </c>
      <c r="E8844" s="10" t="str">
        <f>"644020240514175946179777"</f>
        <v>644020240514175946179777</v>
      </c>
      <c r="F8844" s="9"/>
    </row>
    <row r="8845" s="2" customFormat="1" ht="30" customHeight="1" spans="1:6">
      <c r="A8845" s="9">
        <v>8842</v>
      </c>
      <c r="B8845" s="10" t="s">
        <v>8339</v>
      </c>
      <c r="C8845" s="10" t="s">
        <v>8340</v>
      </c>
      <c r="D8845" s="10" t="s">
        <v>8439</v>
      </c>
      <c r="E8845" s="10" t="str">
        <f>"644020240514190013179889"</f>
        <v>644020240514190013179889</v>
      </c>
      <c r="F8845" s="9"/>
    </row>
    <row r="8846" s="2" customFormat="1" ht="30" customHeight="1" spans="1:6">
      <c r="A8846" s="9">
        <v>8843</v>
      </c>
      <c r="B8846" s="10" t="s">
        <v>8339</v>
      </c>
      <c r="C8846" s="10" t="s">
        <v>8340</v>
      </c>
      <c r="D8846" s="10" t="s">
        <v>8440</v>
      </c>
      <c r="E8846" s="10" t="str">
        <f>"644020240514191643179918"</f>
        <v>644020240514191643179918</v>
      </c>
      <c r="F8846" s="9"/>
    </row>
    <row r="8847" s="2" customFormat="1" ht="30" customHeight="1" spans="1:6">
      <c r="A8847" s="9">
        <v>8844</v>
      </c>
      <c r="B8847" s="10" t="s">
        <v>8339</v>
      </c>
      <c r="C8847" s="10" t="s">
        <v>8340</v>
      </c>
      <c r="D8847" s="10" t="s">
        <v>8441</v>
      </c>
      <c r="E8847" s="10" t="str">
        <f>"644020240513101230173234"</f>
        <v>644020240513101230173234</v>
      </c>
      <c r="F8847" s="9"/>
    </row>
    <row r="8848" s="2" customFormat="1" ht="30" customHeight="1" spans="1:6">
      <c r="A8848" s="9">
        <v>8845</v>
      </c>
      <c r="B8848" s="10" t="s">
        <v>8339</v>
      </c>
      <c r="C8848" s="10" t="s">
        <v>8340</v>
      </c>
      <c r="D8848" s="10" t="s">
        <v>8442</v>
      </c>
      <c r="E8848" s="10" t="str">
        <f>"644020240514164111179540"</f>
        <v>644020240514164111179540</v>
      </c>
      <c r="F8848" s="9"/>
    </row>
    <row r="8849" s="2" customFormat="1" ht="30" customHeight="1" spans="1:6">
      <c r="A8849" s="9">
        <v>8846</v>
      </c>
      <c r="B8849" s="10" t="s">
        <v>8339</v>
      </c>
      <c r="C8849" s="10" t="s">
        <v>8340</v>
      </c>
      <c r="D8849" s="10" t="s">
        <v>8443</v>
      </c>
      <c r="E8849" s="10" t="str">
        <f>"644020240514201155180003"</f>
        <v>644020240514201155180003</v>
      </c>
      <c r="F8849" s="9"/>
    </row>
    <row r="8850" s="2" customFormat="1" ht="30" customHeight="1" spans="1:6">
      <c r="A8850" s="9">
        <v>8847</v>
      </c>
      <c r="B8850" s="10" t="s">
        <v>8339</v>
      </c>
      <c r="C8850" s="10" t="s">
        <v>8340</v>
      </c>
      <c r="D8850" s="10" t="s">
        <v>8444</v>
      </c>
      <c r="E8850" s="10" t="str">
        <f>"644020240514201432180012"</f>
        <v>644020240514201432180012</v>
      </c>
      <c r="F8850" s="9"/>
    </row>
    <row r="8851" s="2" customFormat="1" ht="30" customHeight="1" spans="1:6">
      <c r="A8851" s="9">
        <v>8848</v>
      </c>
      <c r="B8851" s="10" t="s">
        <v>8339</v>
      </c>
      <c r="C8851" s="10" t="s">
        <v>8340</v>
      </c>
      <c r="D8851" s="10" t="s">
        <v>8445</v>
      </c>
      <c r="E8851" s="10" t="str">
        <f>"644020240514200751179995"</f>
        <v>644020240514200751179995</v>
      </c>
      <c r="F8851" s="9"/>
    </row>
    <row r="8852" s="2" customFormat="1" ht="30" customHeight="1" spans="1:6">
      <c r="A8852" s="9">
        <v>8849</v>
      </c>
      <c r="B8852" s="10" t="s">
        <v>8339</v>
      </c>
      <c r="C8852" s="10" t="s">
        <v>8340</v>
      </c>
      <c r="D8852" s="10" t="s">
        <v>8446</v>
      </c>
      <c r="E8852" s="10" t="str">
        <f>"644020240514201018179998"</f>
        <v>644020240514201018179998</v>
      </c>
      <c r="F8852" s="9"/>
    </row>
    <row r="8853" s="2" customFormat="1" ht="30" customHeight="1" spans="1:6">
      <c r="A8853" s="9">
        <v>8850</v>
      </c>
      <c r="B8853" s="10" t="s">
        <v>8339</v>
      </c>
      <c r="C8853" s="10" t="s">
        <v>8340</v>
      </c>
      <c r="D8853" s="10" t="s">
        <v>8447</v>
      </c>
      <c r="E8853" s="10" t="str">
        <f>"644020240514200422179980"</f>
        <v>644020240514200422179980</v>
      </c>
      <c r="F8853" s="9"/>
    </row>
    <row r="8854" s="2" customFormat="1" ht="30" customHeight="1" spans="1:6">
      <c r="A8854" s="9">
        <v>8851</v>
      </c>
      <c r="B8854" s="10" t="s">
        <v>8339</v>
      </c>
      <c r="C8854" s="10" t="s">
        <v>8340</v>
      </c>
      <c r="D8854" s="10" t="s">
        <v>8448</v>
      </c>
      <c r="E8854" s="10" t="str">
        <f>"644020240514105105178564"</f>
        <v>644020240514105105178564</v>
      </c>
      <c r="F8854" s="9"/>
    </row>
    <row r="8855" s="2" customFormat="1" ht="30" customHeight="1" spans="1:6">
      <c r="A8855" s="9">
        <v>8852</v>
      </c>
      <c r="B8855" s="10" t="s">
        <v>8339</v>
      </c>
      <c r="C8855" s="10" t="s">
        <v>8340</v>
      </c>
      <c r="D8855" s="10" t="s">
        <v>8449</v>
      </c>
      <c r="E8855" s="10" t="str">
        <f>"644020240514210530180125"</f>
        <v>644020240514210530180125</v>
      </c>
      <c r="F8855" s="9"/>
    </row>
    <row r="8856" s="2" customFormat="1" ht="30" customHeight="1" spans="1:6">
      <c r="A8856" s="9">
        <v>8853</v>
      </c>
      <c r="B8856" s="10" t="s">
        <v>8339</v>
      </c>
      <c r="C8856" s="10" t="s">
        <v>8340</v>
      </c>
      <c r="D8856" s="10" t="s">
        <v>8450</v>
      </c>
      <c r="E8856" s="10" t="str">
        <f>"644020240512202956170837"</f>
        <v>644020240512202956170837</v>
      </c>
      <c r="F8856" s="9"/>
    </row>
    <row r="8857" s="2" customFormat="1" ht="30" customHeight="1" spans="1:6">
      <c r="A8857" s="9">
        <v>8854</v>
      </c>
      <c r="B8857" s="10" t="s">
        <v>8339</v>
      </c>
      <c r="C8857" s="10" t="s">
        <v>8340</v>
      </c>
      <c r="D8857" s="10" t="s">
        <v>8451</v>
      </c>
      <c r="E8857" s="10" t="str">
        <f>"644020240513135935174789"</f>
        <v>644020240513135935174789</v>
      </c>
      <c r="F8857" s="9"/>
    </row>
    <row r="8858" s="2" customFormat="1" ht="30" customHeight="1" spans="1:6">
      <c r="A8858" s="9">
        <v>8855</v>
      </c>
      <c r="B8858" s="10" t="s">
        <v>8339</v>
      </c>
      <c r="C8858" s="10" t="s">
        <v>8340</v>
      </c>
      <c r="D8858" s="10" t="s">
        <v>8452</v>
      </c>
      <c r="E8858" s="10" t="str">
        <f>"644020240514213917180226"</f>
        <v>644020240514213917180226</v>
      </c>
      <c r="F8858" s="9"/>
    </row>
    <row r="8859" s="2" customFormat="1" ht="30" customHeight="1" spans="1:6">
      <c r="A8859" s="9">
        <v>8856</v>
      </c>
      <c r="B8859" s="10" t="s">
        <v>8339</v>
      </c>
      <c r="C8859" s="10" t="s">
        <v>8340</v>
      </c>
      <c r="D8859" s="10" t="s">
        <v>8453</v>
      </c>
      <c r="E8859" s="10" t="str">
        <f>"644020240514211040180138"</f>
        <v>644020240514211040180138</v>
      </c>
      <c r="F8859" s="9"/>
    </row>
    <row r="8860" s="2" customFormat="1" ht="30" customHeight="1" spans="1:6">
      <c r="A8860" s="9">
        <v>8857</v>
      </c>
      <c r="B8860" s="10" t="s">
        <v>8339</v>
      </c>
      <c r="C8860" s="10" t="s">
        <v>8340</v>
      </c>
      <c r="D8860" s="10" t="s">
        <v>8454</v>
      </c>
      <c r="E8860" s="10" t="str">
        <f>"644020240514152905179293"</f>
        <v>644020240514152905179293</v>
      </c>
      <c r="F8860" s="9"/>
    </row>
    <row r="8861" s="2" customFormat="1" ht="30" customHeight="1" spans="1:6">
      <c r="A8861" s="9">
        <v>8858</v>
      </c>
      <c r="B8861" s="10" t="s">
        <v>8339</v>
      </c>
      <c r="C8861" s="10" t="s">
        <v>8340</v>
      </c>
      <c r="D8861" s="10" t="s">
        <v>8455</v>
      </c>
      <c r="E8861" s="10" t="str">
        <f>"644020240513090045172492"</f>
        <v>644020240513090045172492</v>
      </c>
      <c r="F8861" s="9"/>
    </row>
    <row r="8862" s="2" customFormat="1" ht="30" customHeight="1" spans="1:6">
      <c r="A8862" s="9">
        <v>8859</v>
      </c>
      <c r="B8862" s="10" t="s">
        <v>8339</v>
      </c>
      <c r="C8862" s="10" t="s">
        <v>8340</v>
      </c>
      <c r="D8862" s="10" t="s">
        <v>8456</v>
      </c>
      <c r="E8862" s="10" t="str">
        <f>"644020240514212731180199"</f>
        <v>644020240514212731180199</v>
      </c>
      <c r="F8862" s="9"/>
    </row>
    <row r="8863" s="2" customFormat="1" ht="30" customHeight="1" spans="1:6">
      <c r="A8863" s="9">
        <v>8860</v>
      </c>
      <c r="B8863" s="10" t="s">
        <v>8339</v>
      </c>
      <c r="C8863" s="10" t="s">
        <v>8340</v>
      </c>
      <c r="D8863" s="10" t="s">
        <v>8457</v>
      </c>
      <c r="E8863" s="10" t="str">
        <f>"644020240514215529180277"</f>
        <v>644020240514215529180277</v>
      </c>
      <c r="F8863" s="9"/>
    </row>
    <row r="8864" s="2" customFormat="1" ht="30" customHeight="1" spans="1:6">
      <c r="A8864" s="9">
        <v>8861</v>
      </c>
      <c r="B8864" s="10" t="s">
        <v>8339</v>
      </c>
      <c r="C8864" s="10" t="s">
        <v>8340</v>
      </c>
      <c r="D8864" s="10" t="s">
        <v>6450</v>
      </c>
      <c r="E8864" s="10" t="str">
        <f>"644020240512180508170323"</f>
        <v>644020240512180508170323</v>
      </c>
      <c r="F8864" s="9"/>
    </row>
    <row r="8865" s="2" customFormat="1" ht="30" customHeight="1" spans="1:6">
      <c r="A8865" s="9">
        <v>8862</v>
      </c>
      <c r="B8865" s="10" t="s">
        <v>8339</v>
      </c>
      <c r="C8865" s="10" t="s">
        <v>8340</v>
      </c>
      <c r="D8865" s="10" t="s">
        <v>8458</v>
      </c>
      <c r="E8865" s="10" t="str">
        <f>"644020240514221219180326"</f>
        <v>644020240514221219180326</v>
      </c>
      <c r="F8865" s="9"/>
    </row>
    <row r="8866" s="2" customFormat="1" ht="30" customHeight="1" spans="1:6">
      <c r="A8866" s="9">
        <v>8863</v>
      </c>
      <c r="B8866" s="10" t="s">
        <v>8339</v>
      </c>
      <c r="C8866" s="10" t="s">
        <v>8340</v>
      </c>
      <c r="D8866" s="10" t="s">
        <v>8459</v>
      </c>
      <c r="E8866" s="10" t="str">
        <f>"644020240512215024171270"</f>
        <v>644020240512215024171270</v>
      </c>
      <c r="F8866" s="9"/>
    </row>
    <row r="8867" s="2" customFormat="1" ht="30" customHeight="1" spans="1:6">
      <c r="A8867" s="9">
        <v>8864</v>
      </c>
      <c r="B8867" s="10" t="s">
        <v>8339</v>
      </c>
      <c r="C8867" s="10" t="s">
        <v>8340</v>
      </c>
      <c r="D8867" s="10" t="s">
        <v>8460</v>
      </c>
      <c r="E8867" s="10" t="str">
        <f>"644020240515075523180660"</f>
        <v>644020240515075523180660</v>
      </c>
      <c r="F8867" s="9"/>
    </row>
    <row r="8868" s="2" customFormat="1" ht="30" customHeight="1" spans="1:6">
      <c r="A8868" s="9">
        <v>8865</v>
      </c>
      <c r="B8868" s="10" t="s">
        <v>8339</v>
      </c>
      <c r="C8868" s="10" t="s">
        <v>8340</v>
      </c>
      <c r="D8868" s="10" t="s">
        <v>8461</v>
      </c>
      <c r="E8868" s="10" t="str">
        <f>"644020240515081237180677"</f>
        <v>644020240515081237180677</v>
      </c>
      <c r="F8868" s="9"/>
    </row>
    <row r="8869" s="2" customFormat="1" ht="30" customHeight="1" spans="1:6">
      <c r="A8869" s="9">
        <v>8866</v>
      </c>
      <c r="B8869" s="10" t="s">
        <v>8339</v>
      </c>
      <c r="C8869" s="10" t="s">
        <v>8340</v>
      </c>
      <c r="D8869" s="10" t="s">
        <v>8462</v>
      </c>
      <c r="E8869" s="10" t="str">
        <f>"644020240515083726180715"</f>
        <v>644020240515083726180715</v>
      </c>
      <c r="F8869" s="9"/>
    </row>
    <row r="8870" s="2" customFormat="1" ht="30" customHeight="1" spans="1:6">
      <c r="A8870" s="9">
        <v>8867</v>
      </c>
      <c r="B8870" s="10" t="s">
        <v>8339</v>
      </c>
      <c r="C8870" s="10" t="s">
        <v>8340</v>
      </c>
      <c r="D8870" s="10" t="s">
        <v>8463</v>
      </c>
      <c r="E8870" s="10" t="str">
        <f>"644020240515091005180794"</f>
        <v>644020240515091005180794</v>
      </c>
      <c r="F8870" s="9"/>
    </row>
    <row r="8871" s="2" customFormat="1" ht="30" customHeight="1" spans="1:6">
      <c r="A8871" s="9">
        <v>8868</v>
      </c>
      <c r="B8871" s="10" t="s">
        <v>8339</v>
      </c>
      <c r="C8871" s="10" t="s">
        <v>8340</v>
      </c>
      <c r="D8871" s="10" t="s">
        <v>4325</v>
      </c>
      <c r="E8871" s="10" t="str">
        <f>"644020240515095308180927"</f>
        <v>644020240515095308180927</v>
      </c>
      <c r="F8871" s="9"/>
    </row>
    <row r="8872" s="2" customFormat="1" ht="30" customHeight="1" spans="1:6">
      <c r="A8872" s="9">
        <v>8869</v>
      </c>
      <c r="B8872" s="10" t="s">
        <v>8339</v>
      </c>
      <c r="C8872" s="10" t="s">
        <v>8340</v>
      </c>
      <c r="D8872" s="10" t="s">
        <v>8464</v>
      </c>
      <c r="E8872" s="10" t="str">
        <f>"644020240515092313180828"</f>
        <v>644020240515092313180828</v>
      </c>
      <c r="F8872" s="9"/>
    </row>
    <row r="8873" s="2" customFormat="1" ht="30" customHeight="1" spans="1:6">
      <c r="A8873" s="9">
        <v>8870</v>
      </c>
      <c r="B8873" s="10" t="s">
        <v>8339</v>
      </c>
      <c r="C8873" s="10" t="s">
        <v>8340</v>
      </c>
      <c r="D8873" s="10" t="s">
        <v>8465</v>
      </c>
      <c r="E8873" s="10" t="str">
        <f>"644020240513092945172803"</f>
        <v>644020240513092945172803</v>
      </c>
      <c r="F8873" s="9"/>
    </row>
    <row r="8874" s="2" customFormat="1" ht="30" customHeight="1" spans="1:6">
      <c r="A8874" s="9">
        <v>8871</v>
      </c>
      <c r="B8874" s="10" t="s">
        <v>8339</v>
      </c>
      <c r="C8874" s="10" t="s">
        <v>8340</v>
      </c>
      <c r="D8874" s="10" t="s">
        <v>8466</v>
      </c>
      <c r="E8874" s="10" t="str">
        <f>"644020240515103215181054"</f>
        <v>644020240515103215181054</v>
      </c>
      <c r="F8874" s="9"/>
    </row>
    <row r="8875" s="2" customFormat="1" ht="30" customHeight="1" spans="1:6">
      <c r="A8875" s="9">
        <v>8872</v>
      </c>
      <c r="B8875" s="10" t="s">
        <v>8339</v>
      </c>
      <c r="C8875" s="10" t="s">
        <v>8340</v>
      </c>
      <c r="D8875" s="10" t="s">
        <v>8467</v>
      </c>
      <c r="E8875" s="10" t="str">
        <f>"644020240514225052180432"</f>
        <v>644020240514225052180432</v>
      </c>
      <c r="F8875" s="9"/>
    </row>
    <row r="8876" s="2" customFormat="1" ht="30" customHeight="1" spans="1:6">
      <c r="A8876" s="9">
        <v>8873</v>
      </c>
      <c r="B8876" s="10" t="s">
        <v>8339</v>
      </c>
      <c r="C8876" s="10" t="s">
        <v>8340</v>
      </c>
      <c r="D8876" s="10" t="s">
        <v>8468</v>
      </c>
      <c r="E8876" s="10" t="str">
        <f>"644020240515114658181288"</f>
        <v>644020240515114658181288</v>
      </c>
      <c r="F8876" s="9"/>
    </row>
    <row r="8877" s="2" customFormat="1" ht="30" customHeight="1" spans="1:6">
      <c r="A8877" s="9">
        <v>8874</v>
      </c>
      <c r="B8877" s="10" t="s">
        <v>8339</v>
      </c>
      <c r="C8877" s="10" t="s">
        <v>8340</v>
      </c>
      <c r="D8877" s="10" t="s">
        <v>8469</v>
      </c>
      <c r="E8877" s="10" t="str">
        <f>"644020240515131735181449"</f>
        <v>644020240515131735181449</v>
      </c>
      <c r="F8877" s="9"/>
    </row>
    <row r="8878" s="2" customFormat="1" ht="30" customHeight="1" spans="1:6">
      <c r="A8878" s="9">
        <v>8875</v>
      </c>
      <c r="B8878" s="10" t="s">
        <v>8339</v>
      </c>
      <c r="C8878" s="10" t="s">
        <v>8340</v>
      </c>
      <c r="D8878" s="10" t="s">
        <v>8470</v>
      </c>
      <c r="E8878" s="10" t="str">
        <f>"644020240515151517181651"</f>
        <v>644020240515151517181651</v>
      </c>
      <c r="F8878" s="9"/>
    </row>
    <row r="8879" s="2" customFormat="1" ht="30" customHeight="1" spans="1:6">
      <c r="A8879" s="9">
        <v>8876</v>
      </c>
      <c r="B8879" s="10" t="s">
        <v>8339</v>
      </c>
      <c r="C8879" s="10" t="s">
        <v>8340</v>
      </c>
      <c r="D8879" s="10" t="s">
        <v>8471</v>
      </c>
      <c r="E8879" s="10" t="str">
        <f>"644020240513113222173977"</f>
        <v>644020240513113222173977</v>
      </c>
      <c r="F8879" s="9"/>
    </row>
    <row r="8880" s="2" customFormat="1" ht="30" customHeight="1" spans="1:6">
      <c r="A8880" s="9">
        <v>8877</v>
      </c>
      <c r="B8880" s="10" t="s">
        <v>8339</v>
      </c>
      <c r="C8880" s="10" t="s">
        <v>8340</v>
      </c>
      <c r="D8880" s="10" t="s">
        <v>8472</v>
      </c>
      <c r="E8880" s="10" t="str">
        <f>"644020240513155506175739"</f>
        <v>644020240513155506175739</v>
      </c>
      <c r="F8880" s="9"/>
    </row>
    <row r="8881" s="2" customFormat="1" ht="30" customHeight="1" spans="1:6">
      <c r="A8881" s="9">
        <v>8878</v>
      </c>
      <c r="B8881" s="10" t="s">
        <v>8339</v>
      </c>
      <c r="C8881" s="10" t="s">
        <v>8340</v>
      </c>
      <c r="D8881" s="10" t="s">
        <v>8473</v>
      </c>
      <c r="E8881" s="10" t="str">
        <f>"644020240515134002181483"</f>
        <v>644020240515134002181483</v>
      </c>
      <c r="F8881" s="9"/>
    </row>
    <row r="8882" s="2" customFormat="1" ht="30" customHeight="1" spans="1:6">
      <c r="A8882" s="9">
        <v>8879</v>
      </c>
      <c r="B8882" s="10" t="s">
        <v>8339</v>
      </c>
      <c r="C8882" s="10" t="s">
        <v>8340</v>
      </c>
      <c r="D8882" s="10" t="s">
        <v>8474</v>
      </c>
      <c r="E8882" s="10" t="str">
        <f>"644020240514183914179844"</f>
        <v>644020240514183914179844</v>
      </c>
      <c r="F8882" s="9"/>
    </row>
    <row r="8883" s="2" customFormat="1" ht="30" customHeight="1" spans="1:6">
      <c r="A8883" s="9">
        <v>8880</v>
      </c>
      <c r="B8883" s="10" t="s">
        <v>8339</v>
      </c>
      <c r="C8883" s="10" t="s">
        <v>8340</v>
      </c>
      <c r="D8883" s="10" t="s">
        <v>8475</v>
      </c>
      <c r="E8883" s="10" t="str">
        <f>"644020240515162410181845"</f>
        <v>644020240515162410181845</v>
      </c>
      <c r="F8883" s="9"/>
    </row>
    <row r="8884" s="2" customFormat="1" ht="30" customHeight="1" spans="1:6">
      <c r="A8884" s="9">
        <v>8881</v>
      </c>
      <c r="B8884" s="10" t="s">
        <v>8339</v>
      </c>
      <c r="C8884" s="10" t="s">
        <v>8340</v>
      </c>
      <c r="D8884" s="10" t="s">
        <v>8476</v>
      </c>
      <c r="E8884" s="10" t="str">
        <f>"644020240515150513181626"</f>
        <v>644020240515150513181626</v>
      </c>
      <c r="F8884" s="9"/>
    </row>
    <row r="8885" s="2" customFormat="1" ht="30" customHeight="1" spans="1:6">
      <c r="A8885" s="9">
        <v>8882</v>
      </c>
      <c r="B8885" s="10" t="s">
        <v>8339</v>
      </c>
      <c r="C8885" s="10" t="s">
        <v>8340</v>
      </c>
      <c r="D8885" s="10" t="s">
        <v>8477</v>
      </c>
      <c r="E8885" s="10" t="str">
        <f>"644020240515164003181891"</f>
        <v>644020240515164003181891</v>
      </c>
      <c r="F8885" s="9"/>
    </row>
    <row r="8886" s="2" customFormat="1" ht="30" customHeight="1" spans="1:6">
      <c r="A8886" s="9">
        <v>8883</v>
      </c>
      <c r="B8886" s="10" t="s">
        <v>8339</v>
      </c>
      <c r="C8886" s="10" t="s">
        <v>8340</v>
      </c>
      <c r="D8886" s="10" t="s">
        <v>8478</v>
      </c>
      <c r="E8886" s="10" t="str">
        <f>"644020240515165416181936"</f>
        <v>644020240515165416181936</v>
      </c>
      <c r="F8886" s="9"/>
    </row>
    <row r="8887" s="2" customFormat="1" ht="30" customHeight="1" spans="1:6">
      <c r="A8887" s="9">
        <v>8884</v>
      </c>
      <c r="B8887" s="10" t="s">
        <v>8339</v>
      </c>
      <c r="C8887" s="10" t="s">
        <v>8340</v>
      </c>
      <c r="D8887" s="10" t="s">
        <v>8479</v>
      </c>
      <c r="E8887" s="10" t="str">
        <f>"644020240514111406178651"</f>
        <v>644020240514111406178651</v>
      </c>
      <c r="F8887" s="9"/>
    </row>
    <row r="8888" s="2" customFormat="1" ht="30" customHeight="1" spans="1:6">
      <c r="A8888" s="9">
        <v>8885</v>
      </c>
      <c r="B8888" s="10" t="s">
        <v>8339</v>
      </c>
      <c r="C8888" s="10" t="s">
        <v>8340</v>
      </c>
      <c r="D8888" s="10" t="s">
        <v>8480</v>
      </c>
      <c r="E8888" s="10" t="str">
        <f>"644020240514160210179405"</f>
        <v>644020240514160210179405</v>
      </c>
      <c r="F8888" s="9"/>
    </row>
    <row r="8889" s="2" customFormat="1" ht="30" customHeight="1" spans="1:6">
      <c r="A8889" s="9">
        <v>8886</v>
      </c>
      <c r="B8889" s="10" t="s">
        <v>8339</v>
      </c>
      <c r="C8889" s="10" t="s">
        <v>8340</v>
      </c>
      <c r="D8889" s="10" t="s">
        <v>8481</v>
      </c>
      <c r="E8889" s="10" t="str">
        <f>"644020240513095346173063"</f>
        <v>644020240513095346173063</v>
      </c>
      <c r="F8889" s="9"/>
    </row>
    <row r="8890" s="2" customFormat="1" ht="30" customHeight="1" spans="1:6">
      <c r="A8890" s="9">
        <v>8887</v>
      </c>
      <c r="B8890" s="10" t="s">
        <v>8339</v>
      </c>
      <c r="C8890" s="10" t="s">
        <v>8340</v>
      </c>
      <c r="D8890" s="10" t="s">
        <v>2243</v>
      </c>
      <c r="E8890" s="10" t="str">
        <f>"644020240512111303168786"</f>
        <v>644020240512111303168786</v>
      </c>
      <c r="F8890" s="9"/>
    </row>
    <row r="8891" s="2" customFormat="1" ht="30" customHeight="1" spans="1:6">
      <c r="A8891" s="9">
        <v>8888</v>
      </c>
      <c r="B8891" s="10" t="s">
        <v>8339</v>
      </c>
      <c r="C8891" s="10" t="s">
        <v>8340</v>
      </c>
      <c r="D8891" s="10" t="s">
        <v>8482</v>
      </c>
      <c r="E8891" s="10" t="str">
        <f>"644020240515171700181986"</f>
        <v>644020240515171700181986</v>
      </c>
      <c r="F8891" s="9"/>
    </row>
    <row r="8892" s="2" customFormat="1" ht="30" customHeight="1" spans="1:6">
      <c r="A8892" s="9">
        <v>8889</v>
      </c>
      <c r="B8892" s="10" t="s">
        <v>8339</v>
      </c>
      <c r="C8892" s="10" t="s">
        <v>8340</v>
      </c>
      <c r="D8892" s="10" t="s">
        <v>8483</v>
      </c>
      <c r="E8892" s="10" t="str">
        <f>"644020240513170206176100"</f>
        <v>644020240513170206176100</v>
      </c>
      <c r="F8892" s="9"/>
    </row>
    <row r="8893" s="2" customFormat="1" ht="30" customHeight="1" spans="1:6">
      <c r="A8893" s="9">
        <v>8890</v>
      </c>
      <c r="B8893" s="10" t="s">
        <v>8339</v>
      </c>
      <c r="C8893" s="10" t="s">
        <v>8340</v>
      </c>
      <c r="D8893" s="10" t="s">
        <v>8484</v>
      </c>
      <c r="E8893" s="10" t="str">
        <f>"644020240515190428182140"</f>
        <v>644020240515190428182140</v>
      </c>
      <c r="F8893" s="9"/>
    </row>
    <row r="8894" s="2" customFormat="1" ht="30" customHeight="1" spans="1:6">
      <c r="A8894" s="9">
        <v>8891</v>
      </c>
      <c r="B8894" s="10" t="s">
        <v>8339</v>
      </c>
      <c r="C8894" s="10" t="s">
        <v>8340</v>
      </c>
      <c r="D8894" s="10" t="s">
        <v>8485</v>
      </c>
      <c r="E8894" s="10" t="str">
        <f>"644020240514210527180124"</f>
        <v>644020240514210527180124</v>
      </c>
      <c r="F8894" s="9"/>
    </row>
    <row r="8895" s="2" customFormat="1" ht="30" customHeight="1" spans="1:6">
      <c r="A8895" s="9">
        <v>8892</v>
      </c>
      <c r="B8895" s="10" t="s">
        <v>8339</v>
      </c>
      <c r="C8895" s="10" t="s">
        <v>8340</v>
      </c>
      <c r="D8895" s="10" t="s">
        <v>8486</v>
      </c>
      <c r="E8895" s="10" t="str">
        <f>"644020240515191918182154"</f>
        <v>644020240515191918182154</v>
      </c>
      <c r="F8895" s="9"/>
    </row>
    <row r="8896" s="2" customFormat="1" ht="30" customHeight="1" spans="1:6">
      <c r="A8896" s="9">
        <v>8893</v>
      </c>
      <c r="B8896" s="10" t="s">
        <v>8339</v>
      </c>
      <c r="C8896" s="10" t="s">
        <v>8340</v>
      </c>
      <c r="D8896" s="10" t="s">
        <v>8487</v>
      </c>
      <c r="E8896" s="10" t="str">
        <f>"644020240512102330168526"</f>
        <v>644020240512102330168526</v>
      </c>
      <c r="F8896" s="9"/>
    </row>
    <row r="8897" s="2" customFormat="1" ht="30" customHeight="1" spans="1:6">
      <c r="A8897" s="9">
        <v>8894</v>
      </c>
      <c r="B8897" s="10" t="s">
        <v>8339</v>
      </c>
      <c r="C8897" s="10" t="s">
        <v>8340</v>
      </c>
      <c r="D8897" s="10" t="s">
        <v>8488</v>
      </c>
      <c r="E8897" s="10" t="str">
        <f>"644020240513091203172615"</f>
        <v>644020240513091203172615</v>
      </c>
      <c r="F8897" s="9"/>
    </row>
    <row r="8898" s="2" customFormat="1" ht="30" customHeight="1" spans="1:6">
      <c r="A8898" s="9">
        <v>8895</v>
      </c>
      <c r="B8898" s="10" t="s">
        <v>8339</v>
      </c>
      <c r="C8898" s="10" t="s">
        <v>8340</v>
      </c>
      <c r="D8898" s="10" t="s">
        <v>8489</v>
      </c>
      <c r="E8898" s="10" t="str">
        <f>"644020240514235000180554"</f>
        <v>644020240514235000180554</v>
      </c>
      <c r="F8898" s="9"/>
    </row>
    <row r="8899" s="2" customFormat="1" ht="30" customHeight="1" spans="1:6">
      <c r="A8899" s="9">
        <v>8896</v>
      </c>
      <c r="B8899" s="10" t="s">
        <v>8339</v>
      </c>
      <c r="C8899" s="10" t="s">
        <v>8340</v>
      </c>
      <c r="D8899" s="10" t="s">
        <v>8490</v>
      </c>
      <c r="E8899" s="10" t="str">
        <f>"644020240515161042181809"</f>
        <v>644020240515161042181809</v>
      </c>
      <c r="F8899" s="9"/>
    </row>
    <row r="8900" s="2" customFormat="1" ht="30" customHeight="1" spans="1:6">
      <c r="A8900" s="9">
        <v>8897</v>
      </c>
      <c r="B8900" s="10" t="s">
        <v>8339</v>
      </c>
      <c r="C8900" s="10" t="s">
        <v>8340</v>
      </c>
      <c r="D8900" s="10" t="s">
        <v>8491</v>
      </c>
      <c r="E8900" s="10" t="str">
        <f>"644020240515223002182423"</f>
        <v>644020240515223002182423</v>
      </c>
      <c r="F8900" s="9"/>
    </row>
    <row r="8901" s="2" customFormat="1" ht="30" customHeight="1" spans="1:6">
      <c r="A8901" s="9">
        <v>8898</v>
      </c>
      <c r="B8901" s="10" t="s">
        <v>8339</v>
      </c>
      <c r="C8901" s="10" t="s">
        <v>8340</v>
      </c>
      <c r="D8901" s="10" t="s">
        <v>8492</v>
      </c>
      <c r="E8901" s="10" t="str">
        <f>"644020240515230900182527"</f>
        <v>644020240515230900182527</v>
      </c>
      <c r="F8901" s="9"/>
    </row>
    <row r="8902" s="2" customFormat="1" ht="30" customHeight="1" spans="1:6">
      <c r="A8902" s="9">
        <v>8899</v>
      </c>
      <c r="B8902" s="10" t="s">
        <v>8339</v>
      </c>
      <c r="C8902" s="10" t="s">
        <v>8340</v>
      </c>
      <c r="D8902" s="10" t="s">
        <v>8493</v>
      </c>
      <c r="E8902" s="10" t="str">
        <f>"644020240515234934182607"</f>
        <v>644020240515234934182607</v>
      </c>
      <c r="F8902" s="9"/>
    </row>
    <row r="8903" s="2" customFormat="1" ht="30" customHeight="1" spans="1:6">
      <c r="A8903" s="9">
        <v>8900</v>
      </c>
      <c r="B8903" s="10" t="s">
        <v>8339</v>
      </c>
      <c r="C8903" s="10" t="s">
        <v>8340</v>
      </c>
      <c r="D8903" s="10" t="s">
        <v>8494</v>
      </c>
      <c r="E8903" s="10" t="str">
        <f>"644020240516000553182635"</f>
        <v>644020240516000553182635</v>
      </c>
      <c r="F8903" s="9"/>
    </row>
    <row r="8904" s="2" customFormat="1" ht="30" customHeight="1" spans="1:6">
      <c r="A8904" s="9">
        <v>8901</v>
      </c>
      <c r="B8904" s="10" t="s">
        <v>8339</v>
      </c>
      <c r="C8904" s="10" t="s">
        <v>8340</v>
      </c>
      <c r="D8904" s="10" t="s">
        <v>8495</v>
      </c>
      <c r="E8904" s="10" t="str">
        <f>"644020240513095329173061"</f>
        <v>644020240513095329173061</v>
      </c>
      <c r="F8904" s="9"/>
    </row>
    <row r="8905" s="2" customFormat="1" ht="30" customHeight="1" spans="1:6">
      <c r="A8905" s="9">
        <v>8902</v>
      </c>
      <c r="B8905" s="10" t="s">
        <v>8339</v>
      </c>
      <c r="C8905" s="10" t="s">
        <v>8340</v>
      </c>
      <c r="D8905" s="10" t="s">
        <v>8496</v>
      </c>
      <c r="E8905" s="10" t="str">
        <f>"644020240515234934182608"</f>
        <v>644020240515234934182608</v>
      </c>
      <c r="F8905" s="9"/>
    </row>
    <row r="8906" s="2" customFormat="1" ht="30" customHeight="1" spans="1:6">
      <c r="A8906" s="9">
        <v>8903</v>
      </c>
      <c r="B8906" s="10" t="s">
        <v>8339</v>
      </c>
      <c r="C8906" s="10" t="s">
        <v>8340</v>
      </c>
      <c r="D8906" s="10" t="s">
        <v>8497</v>
      </c>
      <c r="E8906" s="10" t="str">
        <f>"644020240513140315174807"</f>
        <v>644020240513140315174807</v>
      </c>
      <c r="F8906" s="9"/>
    </row>
    <row r="8907" s="2" customFormat="1" ht="30" customHeight="1" spans="1:6">
      <c r="A8907" s="9">
        <v>8904</v>
      </c>
      <c r="B8907" s="10" t="s">
        <v>8339</v>
      </c>
      <c r="C8907" s="10" t="s">
        <v>8340</v>
      </c>
      <c r="D8907" s="10" t="s">
        <v>6503</v>
      </c>
      <c r="E8907" s="10" t="str">
        <f>"644020240514090552177997"</f>
        <v>644020240514090552177997</v>
      </c>
      <c r="F8907" s="9"/>
    </row>
    <row r="8908" s="2" customFormat="1" ht="30" customHeight="1" spans="1:6">
      <c r="A8908" s="9">
        <v>8905</v>
      </c>
      <c r="B8908" s="10" t="s">
        <v>8339</v>
      </c>
      <c r="C8908" s="10" t="s">
        <v>8340</v>
      </c>
      <c r="D8908" s="10" t="s">
        <v>8498</v>
      </c>
      <c r="E8908" s="10" t="str">
        <f>"644020240516082707182768"</f>
        <v>644020240516082707182768</v>
      </c>
      <c r="F8908" s="9"/>
    </row>
    <row r="8909" s="2" customFormat="1" ht="30" customHeight="1" spans="1:6">
      <c r="A8909" s="9">
        <v>8906</v>
      </c>
      <c r="B8909" s="10" t="s">
        <v>8339</v>
      </c>
      <c r="C8909" s="10" t="s">
        <v>8340</v>
      </c>
      <c r="D8909" s="10" t="s">
        <v>8499</v>
      </c>
      <c r="E8909" s="10" t="str">
        <f>"644020240516091935182852"</f>
        <v>644020240516091935182852</v>
      </c>
      <c r="F8909" s="9"/>
    </row>
    <row r="8910" s="2" customFormat="1" ht="30" customHeight="1" spans="1:6">
      <c r="A8910" s="9">
        <v>8907</v>
      </c>
      <c r="B8910" s="10" t="s">
        <v>8339</v>
      </c>
      <c r="C8910" s="10" t="s">
        <v>8340</v>
      </c>
      <c r="D8910" s="10" t="s">
        <v>8500</v>
      </c>
      <c r="E8910" s="10" t="str">
        <f>"644020240514171352179658"</f>
        <v>644020240514171352179658</v>
      </c>
      <c r="F8910" s="9"/>
    </row>
    <row r="8911" s="2" customFormat="1" ht="30" customHeight="1" spans="1:6">
      <c r="A8911" s="9">
        <v>8908</v>
      </c>
      <c r="B8911" s="10" t="s">
        <v>8339</v>
      </c>
      <c r="C8911" s="10" t="s">
        <v>8340</v>
      </c>
      <c r="D8911" s="10" t="s">
        <v>8501</v>
      </c>
      <c r="E8911" s="10" t="str">
        <f>"644020240514101606178349"</f>
        <v>644020240514101606178349</v>
      </c>
      <c r="F8911" s="9"/>
    </row>
    <row r="8912" s="2" customFormat="1" ht="30" customHeight="1" spans="1:6">
      <c r="A8912" s="9">
        <v>8909</v>
      </c>
      <c r="B8912" s="10" t="s">
        <v>8339</v>
      </c>
      <c r="C8912" s="10" t="s">
        <v>8340</v>
      </c>
      <c r="D8912" s="10" t="s">
        <v>8502</v>
      </c>
      <c r="E8912" s="10" t="str">
        <f>"644020240516091427182835"</f>
        <v>644020240516091427182835</v>
      </c>
      <c r="F8912" s="9"/>
    </row>
    <row r="8913" s="2" customFormat="1" ht="30" customHeight="1" spans="1:6">
      <c r="A8913" s="9">
        <v>8910</v>
      </c>
      <c r="B8913" s="10" t="s">
        <v>8339</v>
      </c>
      <c r="C8913" s="10" t="s">
        <v>8340</v>
      </c>
      <c r="D8913" s="10" t="s">
        <v>8503</v>
      </c>
      <c r="E8913" s="10" t="str">
        <f>"644020240516100607182967"</f>
        <v>644020240516100607182967</v>
      </c>
      <c r="F8913" s="9"/>
    </row>
    <row r="8914" s="2" customFormat="1" ht="30" customHeight="1" spans="1:6">
      <c r="A8914" s="9">
        <v>8911</v>
      </c>
      <c r="B8914" s="10" t="s">
        <v>8339</v>
      </c>
      <c r="C8914" s="10" t="s">
        <v>8340</v>
      </c>
      <c r="D8914" s="10" t="s">
        <v>8504</v>
      </c>
      <c r="E8914" s="10" t="str">
        <f>"644020240516102034183004"</f>
        <v>644020240516102034183004</v>
      </c>
      <c r="F8914" s="9"/>
    </row>
    <row r="8915" s="2" customFormat="1" ht="30" customHeight="1" spans="1:6">
      <c r="A8915" s="9">
        <v>8912</v>
      </c>
      <c r="B8915" s="10" t="s">
        <v>8339</v>
      </c>
      <c r="C8915" s="10" t="s">
        <v>8340</v>
      </c>
      <c r="D8915" s="10" t="s">
        <v>8505</v>
      </c>
      <c r="E8915" s="10" t="str">
        <f>"644020240512175215170286"</f>
        <v>644020240512175215170286</v>
      </c>
      <c r="F8915" s="9"/>
    </row>
    <row r="8916" s="2" customFormat="1" ht="30" customHeight="1" spans="1:6">
      <c r="A8916" s="9">
        <v>8913</v>
      </c>
      <c r="B8916" s="10" t="s">
        <v>8339</v>
      </c>
      <c r="C8916" s="10" t="s">
        <v>8340</v>
      </c>
      <c r="D8916" s="10" t="s">
        <v>8506</v>
      </c>
      <c r="E8916" s="10" t="str">
        <f>"644020240515234755182603"</f>
        <v>644020240515234755182603</v>
      </c>
      <c r="F8916" s="9"/>
    </row>
    <row r="8917" s="2" customFormat="1" ht="30" customHeight="1" spans="1:6">
      <c r="A8917" s="9">
        <v>8914</v>
      </c>
      <c r="B8917" s="10" t="s">
        <v>8339</v>
      </c>
      <c r="C8917" s="10" t="s">
        <v>8340</v>
      </c>
      <c r="D8917" s="10" t="s">
        <v>8507</v>
      </c>
      <c r="E8917" s="10" t="str">
        <f>"644020240515221915182390"</f>
        <v>644020240515221915182390</v>
      </c>
      <c r="F8917" s="9"/>
    </row>
    <row r="8918" s="2" customFormat="1" ht="30" customHeight="1" spans="1:6">
      <c r="A8918" s="9">
        <v>8915</v>
      </c>
      <c r="B8918" s="10" t="s">
        <v>8339</v>
      </c>
      <c r="C8918" s="10" t="s">
        <v>8340</v>
      </c>
      <c r="D8918" s="10" t="s">
        <v>8508</v>
      </c>
      <c r="E8918" s="10" t="str">
        <f>"644020240513235008177622"</f>
        <v>644020240513235008177622</v>
      </c>
      <c r="F8918" s="9"/>
    </row>
    <row r="8919" s="2" customFormat="1" ht="30" customHeight="1" spans="1:6">
      <c r="A8919" s="9">
        <v>8916</v>
      </c>
      <c r="B8919" s="10" t="s">
        <v>8339</v>
      </c>
      <c r="C8919" s="10" t="s">
        <v>8340</v>
      </c>
      <c r="D8919" s="10" t="s">
        <v>8509</v>
      </c>
      <c r="E8919" s="10" t="str">
        <f>"644020240512202346170811"</f>
        <v>644020240512202346170811</v>
      </c>
      <c r="F8919" s="9"/>
    </row>
    <row r="8920" s="2" customFormat="1" ht="30" customHeight="1" spans="1:6">
      <c r="A8920" s="9">
        <v>8917</v>
      </c>
      <c r="B8920" s="10" t="s">
        <v>8339</v>
      </c>
      <c r="C8920" s="10" t="s">
        <v>8340</v>
      </c>
      <c r="D8920" s="10" t="s">
        <v>8510</v>
      </c>
      <c r="E8920" s="10" t="str">
        <f>"644020240513164721176035"</f>
        <v>644020240513164721176035</v>
      </c>
      <c r="F8920" s="9"/>
    </row>
    <row r="8921" s="2" customFormat="1" ht="30" customHeight="1" spans="1:6">
      <c r="A8921" s="9">
        <v>8918</v>
      </c>
      <c r="B8921" s="10" t="s">
        <v>8339</v>
      </c>
      <c r="C8921" s="10" t="s">
        <v>8340</v>
      </c>
      <c r="D8921" s="10" t="s">
        <v>3690</v>
      </c>
      <c r="E8921" s="10" t="str">
        <f>"644020240516104451183049"</f>
        <v>644020240516104451183049</v>
      </c>
      <c r="F8921" s="9"/>
    </row>
    <row r="8922" s="2" customFormat="1" ht="30" customHeight="1" spans="1:6">
      <c r="A8922" s="9">
        <v>8919</v>
      </c>
      <c r="B8922" s="10" t="s">
        <v>8339</v>
      </c>
      <c r="C8922" s="10" t="s">
        <v>8340</v>
      </c>
      <c r="D8922" s="10" t="s">
        <v>8511</v>
      </c>
      <c r="E8922" s="10" t="str">
        <f>"644020240516120732183237"</f>
        <v>644020240516120732183237</v>
      </c>
      <c r="F8922" s="9"/>
    </row>
    <row r="8923" s="2" customFormat="1" ht="30" customHeight="1" spans="1:6">
      <c r="A8923" s="9">
        <v>8920</v>
      </c>
      <c r="B8923" s="10" t="s">
        <v>8339</v>
      </c>
      <c r="C8923" s="10" t="s">
        <v>8340</v>
      </c>
      <c r="D8923" s="10" t="s">
        <v>8512</v>
      </c>
      <c r="E8923" s="10" t="str">
        <f>"644020240516115839183220"</f>
        <v>644020240516115839183220</v>
      </c>
      <c r="F8923" s="9"/>
    </row>
    <row r="8924" s="2" customFormat="1" ht="30" customHeight="1" spans="1:6">
      <c r="A8924" s="9">
        <v>8921</v>
      </c>
      <c r="B8924" s="10" t="s">
        <v>8339</v>
      </c>
      <c r="C8924" s="10" t="s">
        <v>8340</v>
      </c>
      <c r="D8924" s="10" t="s">
        <v>8513</v>
      </c>
      <c r="E8924" s="10" t="str">
        <f>"644020240516122722183277"</f>
        <v>644020240516122722183277</v>
      </c>
      <c r="F8924" s="9"/>
    </row>
    <row r="8925" s="2" customFormat="1" ht="30" customHeight="1" spans="1:6">
      <c r="A8925" s="9">
        <v>8922</v>
      </c>
      <c r="B8925" s="10" t="s">
        <v>8339</v>
      </c>
      <c r="C8925" s="10" t="s">
        <v>8340</v>
      </c>
      <c r="D8925" s="10" t="s">
        <v>8514</v>
      </c>
      <c r="E8925" s="10" t="str">
        <f>"644020240515192312182161"</f>
        <v>644020240515192312182161</v>
      </c>
      <c r="F8925" s="9"/>
    </row>
    <row r="8926" s="2" customFormat="1" ht="30" customHeight="1" spans="1:6">
      <c r="A8926" s="9">
        <v>8923</v>
      </c>
      <c r="B8926" s="10" t="s">
        <v>8339</v>
      </c>
      <c r="C8926" s="10" t="s">
        <v>8340</v>
      </c>
      <c r="D8926" s="10" t="s">
        <v>6124</v>
      </c>
      <c r="E8926" s="10" t="str">
        <f>"644020240514105723178589"</f>
        <v>644020240514105723178589</v>
      </c>
      <c r="F8926" s="9"/>
    </row>
    <row r="8927" s="2" customFormat="1" ht="30" customHeight="1" spans="1:6">
      <c r="A8927" s="9">
        <v>8924</v>
      </c>
      <c r="B8927" s="10" t="s">
        <v>8339</v>
      </c>
      <c r="C8927" s="10" t="s">
        <v>8340</v>
      </c>
      <c r="D8927" s="10" t="s">
        <v>8515</v>
      </c>
      <c r="E8927" s="10" t="str">
        <f>"644020240516151318183508"</f>
        <v>644020240516151318183508</v>
      </c>
      <c r="F8927" s="9"/>
    </row>
    <row r="8928" s="2" customFormat="1" ht="30" customHeight="1" spans="1:6">
      <c r="A8928" s="9">
        <v>8925</v>
      </c>
      <c r="B8928" s="10" t="s">
        <v>8339</v>
      </c>
      <c r="C8928" s="10" t="s">
        <v>8340</v>
      </c>
      <c r="D8928" s="10" t="s">
        <v>8516</v>
      </c>
      <c r="E8928" s="10" t="str">
        <f>"644020240516155513183597"</f>
        <v>644020240516155513183597</v>
      </c>
      <c r="F8928" s="9"/>
    </row>
    <row r="8929" s="2" customFormat="1" ht="30" customHeight="1" spans="1:6">
      <c r="A8929" s="9">
        <v>8926</v>
      </c>
      <c r="B8929" s="10" t="s">
        <v>8339</v>
      </c>
      <c r="C8929" s="10" t="s">
        <v>8340</v>
      </c>
      <c r="D8929" s="10" t="s">
        <v>8517</v>
      </c>
      <c r="E8929" s="10" t="str">
        <f>"644020240515160508181797"</f>
        <v>644020240515160508181797</v>
      </c>
      <c r="F8929" s="9"/>
    </row>
    <row r="8930" s="2" customFormat="1" ht="30" customHeight="1" spans="1:6">
      <c r="A8930" s="9">
        <v>8927</v>
      </c>
      <c r="B8930" s="10" t="s">
        <v>8339</v>
      </c>
      <c r="C8930" s="10" t="s">
        <v>8340</v>
      </c>
      <c r="D8930" s="10" t="s">
        <v>8518</v>
      </c>
      <c r="E8930" s="10" t="str">
        <f>"644020240516163637183705"</f>
        <v>644020240516163637183705</v>
      </c>
      <c r="F8930" s="9"/>
    </row>
    <row r="8931" s="2" customFormat="1" ht="30" customHeight="1" spans="1:6">
      <c r="A8931" s="9">
        <v>8928</v>
      </c>
      <c r="B8931" s="10" t="s">
        <v>8339</v>
      </c>
      <c r="C8931" s="10" t="s">
        <v>8340</v>
      </c>
      <c r="D8931" s="10" t="s">
        <v>8519</v>
      </c>
      <c r="E8931" s="10" t="str">
        <f>"644020240516165248183750"</f>
        <v>644020240516165248183750</v>
      </c>
      <c r="F8931" s="9"/>
    </row>
    <row r="8932" s="2" customFormat="1" ht="30" customHeight="1" spans="1:6">
      <c r="A8932" s="9">
        <v>8929</v>
      </c>
      <c r="B8932" s="10" t="s">
        <v>8339</v>
      </c>
      <c r="C8932" s="10" t="s">
        <v>8340</v>
      </c>
      <c r="D8932" s="10" t="s">
        <v>8520</v>
      </c>
      <c r="E8932" s="10" t="str">
        <f>"644020240516164912183736"</f>
        <v>644020240516164912183736</v>
      </c>
      <c r="F8932" s="9"/>
    </row>
    <row r="8933" s="2" customFormat="1" ht="30" customHeight="1" spans="1:6">
      <c r="A8933" s="9">
        <v>8930</v>
      </c>
      <c r="B8933" s="10" t="s">
        <v>8339</v>
      </c>
      <c r="C8933" s="10" t="s">
        <v>8340</v>
      </c>
      <c r="D8933" s="10" t="s">
        <v>8521</v>
      </c>
      <c r="E8933" s="10" t="str">
        <f>"644020240515091709180813"</f>
        <v>644020240515091709180813</v>
      </c>
      <c r="F8933" s="9"/>
    </row>
    <row r="8934" s="2" customFormat="1" ht="30" customHeight="1" spans="1:6">
      <c r="A8934" s="9">
        <v>8931</v>
      </c>
      <c r="B8934" s="10" t="s">
        <v>8339</v>
      </c>
      <c r="C8934" s="10" t="s">
        <v>8340</v>
      </c>
      <c r="D8934" s="10" t="s">
        <v>8522</v>
      </c>
      <c r="E8934" s="10" t="str">
        <f>"644020240516164305183718"</f>
        <v>644020240516164305183718</v>
      </c>
      <c r="F8934" s="9"/>
    </row>
    <row r="8935" s="2" customFormat="1" ht="30" customHeight="1" spans="1:6">
      <c r="A8935" s="9">
        <v>8932</v>
      </c>
      <c r="B8935" s="10" t="s">
        <v>8339</v>
      </c>
      <c r="C8935" s="10" t="s">
        <v>8340</v>
      </c>
      <c r="D8935" s="10" t="s">
        <v>8523</v>
      </c>
      <c r="E8935" s="10" t="str">
        <f>"644020240516172128183817"</f>
        <v>644020240516172128183817</v>
      </c>
      <c r="F8935" s="9"/>
    </row>
    <row r="8936" s="2" customFormat="1" ht="30" customHeight="1" spans="1:6">
      <c r="A8936" s="9">
        <v>8933</v>
      </c>
      <c r="B8936" s="10" t="s">
        <v>8339</v>
      </c>
      <c r="C8936" s="10" t="s">
        <v>8340</v>
      </c>
      <c r="D8936" s="10" t="s">
        <v>8524</v>
      </c>
      <c r="E8936" s="10" t="str">
        <f>"644020240515163704181877"</f>
        <v>644020240515163704181877</v>
      </c>
      <c r="F8936" s="9"/>
    </row>
    <row r="8937" s="2" customFormat="1" ht="30" customHeight="1" spans="1:6">
      <c r="A8937" s="9">
        <v>8934</v>
      </c>
      <c r="B8937" s="10" t="s">
        <v>8339</v>
      </c>
      <c r="C8937" s="10" t="s">
        <v>8340</v>
      </c>
      <c r="D8937" s="10" t="s">
        <v>8525</v>
      </c>
      <c r="E8937" s="10" t="str">
        <f>"644020240516170005183768"</f>
        <v>644020240516170005183768</v>
      </c>
      <c r="F8937" s="9"/>
    </row>
    <row r="8938" s="2" customFormat="1" ht="30" customHeight="1" spans="1:6">
      <c r="A8938" s="9">
        <v>8935</v>
      </c>
      <c r="B8938" s="10" t="s">
        <v>8339</v>
      </c>
      <c r="C8938" s="10" t="s">
        <v>8340</v>
      </c>
      <c r="D8938" s="10" t="s">
        <v>1903</v>
      </c>
      <c r="E8938" s="10" t="str">
        <f>"644020240516170542183776"</f>
        <v>644020240516170542183776</v>
      </c>
      <c r="F8938" s="9"/>
    </row>
    <row r="8939" s="2" customFormat="1" ht="30" customHeight="1" spans="1:6">
      <c r="A8939" s="9">
        <v>8936</v>
      </c>
      <c r="B8939" s="10" t="s">
        <v>8339</v>
      </c>
      <c r="C8939" s="10" t="s">
        <v>8340</v>
      </c>
      <c r="D8939" s="10" t="s">
        <v>8526</v>
      </c>
      <c r="E8939" s="10" t="str">
        <f>"644020240514072356177784"</f>
        <v>644020240514072356177784</v>
      </c>
      <c r="F8939" s="9"/>
    </row>
    <row r="8940" s="2" customFormat="1" ht="30" customHeight="1" spans="1:6">
      <c r="A8940" s="9">
        <v>8937</v>
      </c>
      <c r="B8940" s="10" t="s">
        <v>8339</v>
      </c>
      <c r="C8940" s="10" t="s">
        <v>8340</v>
      </c>
      <c r="D8940" s="10" t="s">
        <v>8527</v>
      </c>
      <c r="E8940" s="10" t="str">
        <f>"644020240516184500183959"</f>
        <v>644020240516184500183959</v>
      </c>
      <c r="F8940" s="9"/>
    </row>
    <row r="8941" s="2" customFormat="1" ht="30" customHeight="1" spans="1:6">
      <c r="A8941" s="9">
        <v>8938</v>
      </c>
      <c r="B8941" s="10" t="s">
        <v>8339</v>
      </c>
      <c r="C8941" s="10" t="s">
        <v>8340</v>
      </c>
      <c r="D8941" s="10" t="s">
        <v>8528</v>
      </c>
      <c r="E8941" s="10" t="str">
        <f>"644020240516182605183923"</f>
        <v>644020240516182605183923</v>
      </c>
      <c r="F8941" s="9"/>
    </row>
    <row r="8942" s="2" customFormat="1" ht="30" customHeight="1" spans="1:6">
      <c r="A8942" s="9">
        <v>8939</v>
      </c>
      <c r="B8942" s="10" t="s">
        <v>8339</v>
      </c>
      <c r="C8942" s="10" t="s">
        <v>8340</v>
      </c>
      <c r="D8942" s="10" t="s">
        <v>8529</v>
      </c>
      <c r="E8942" s="10" t="str">
        <f>"644020240516181529183906"</f>
        <v>644020240516181529183906</v>
      </c>
      <c r="F8942" s="9"/>
    </row>
    <row r="8943" s="2" customFormat="1" ht="30" customHeight="1" spans="1:6">
      <c r="A8943" s="9">
        <v>8940</v>
      </c>
      <c r="B8943" s="10" t="s">
        <v>8339</v>
      </c>
      <c r="C8943" s="10" t="s">
        <v>8340</v>
      </c>
      <c r="D8943" s="10" t="s">
        <v>8530</v>
      </c>
      <c r="E8943" s="10" t="str">
        <f>"644020240516161453183649"</f>
        <v>644020240516161453183649</v>
      </c>
      <c r="F8943" s="9"/>
    </row>
    <row r="8944" s="2" customFormat="1" ht="30" customHeight="1" spans="1:6">
      <c r="A8944" s="9">
        <v>8941</v>
      </c>
      <c r="B8944" s="10" t="s">
        <v>8339</v>
      </c>
      <c r="C8944" s="10" t="s">
        <v>8340</v>
      </c>
      <c r="D8944" s="10" t="s">
        <v>4845</v>
      </c>
      <c r="E8944" s="10" t="str">
        <f>"644020240516151346183509"</f>
        <v>644020240516151346183509</v>
      </c>
      <c r="F8944" s="9"/>
    </row>
    <row r="8945" s="2" customFormat="1" ht="30" customHeight="1" spans="1:6">
      <c r="A8945" s="9">
        <v>8942</v>
      </c>
      <c r="B8945" s="10" t="s">
        <v>8339</v>
      </c>
      <c r="C8945" s="10" t="s">
        <v>8340</v>
      </c>
      <c r="D8945" s="10" t="s">
        <v>8531</v>
      </c>
      <c r="E8945" s="10" t="str">
        <f>"644020240515152159181673"</f>
        <v>644020240515152159181673</v>
      </c>
      <c r="F8945" s="9"/>
    </row>
    <row r="8946" s="2" customFormat="1" ht="30" customHeight="1" spans="1:6">
      <c r="A8946" s="9">
        <v>8943</v>
      </c>
      <c r="B8946" s="10" t="s">
        <v>8339</v>
      </c>
      <c r="C8946" s="10" t="s">
        <v>8340</v>
      </c>
      <c r="D8946" s="10" t="s">
        <v>8532</v>
      </c>
      <c r="E8946" s="10" t="str">
        <f>"644020240514172122179684"</f>
        <v>644020240514172122179684</v>
      </c>
      <c r="F8946" s="9"/>
    </row>
    <row r="8947" s="2" customFormat="1" ht="30" customHeight="1" spans="1:6">
      <c r="A8947" s="9">
        <v>8944</v>
      </c>
      <c r="B8947" s="10" t="s">
        <v>8339</v>
      </c>
      <c r="C8947" s="10" t="s">
        <v>8340</v>
      </c>
      <c r="D8947" s="10" t="s">
        <v>5358</v>
      </c>
      <c r="E8947" s="10" t="str">
        <f>"644020240516202716184044"</f>
        <v>644020240516202716184044</v>
      </c>
      <c r="F8947" s="9"/>
    </row>
    <row r="8948" s="2" customFormat="1" ht="30" customHeight="1" spans="1:6">
      <c r="A8948" s="9">
        <v>8945</v>
      </c>
      <c r="B8948" s="10" t="s">
        <v>8339</v>
      </c>
      <c r="C8948" s="10" t="s">
        <v>8340</v>
      </c>
      <c r="D8948" s="10" t="s">
        <v>7610</v>
      </c>
      <c r="E8948" s="10" t="str">
        <f>"644020240514090137177967"</f>
        <v>644020240514090137177967</v>
      </c>
      <c r="F8948" s="9"/>
    </row>
    <row r="8949" s="2" customFormat="1" ht="30" customHeight="1" spans="1:6">
      <c r="A8949" s="9">
        <v>8946</v>
      </c>
      <c r="B8949" s="10" t="s">
        <v>8339</v>
      </c>
      <c r="C8949" s="10" t="s">
        <v>8340</v>
      </c>
      <c r="D8949" s="10" t="s">
        <v>8533</v>
      </c>
      <c r="E8949" s="10" t="str">
        <f>"644020240516104957183077"</f>
        <v>644020240516104957183077</v>
      </c>
      <c r="F8949" s="9"/>
    </row>
    <row r="8950" s="2" customFormat="1" ht="30" customHeight="1" spans="1:6">
      <c r="A8950" s="9">
        <v>8947</v>
      </c>
      <c r="B8950" s="10" t="s">
        <v>8339</v>
      </c>
      <c r="C8950" s="10" t="s">
        <v>8340</v>
      </c>
      <c r="D8950" s="10" t="s">
        <v>8534</v>
      </c>
      <c r="E8950" s="10" t="str">
        <f>"644020240516202917184056"</f>
        <v>644020240516202917184056</v>
      </c>
      <c r="F8950" s="9"/>
    </row>
    <row r="8951" s="2" customFormat="1" ht="30" customHeight="1" spans="1:6">
      <c r="A8951" s="9">
        <v>8948</v>
      </c>
      <c r="B8951" s="10" t="s">
        <v>8339</v>
      </c>
      <c r="C8951" s="10" t="s">
        <v>8340</v>
      </c>
      <c r="D8951" s="10" t="s">
        <v>8535</v>
      </c>
      <c r="E8951" s="10" t="str">
        <f>"644020240516203118184062"</f>
        <v>644020240516203118184062</v>
      </c>
      <c r="F8951" s="9"/>
    </row>
    <row r="8952" s="2" customFormat="1" ht="30" customHeight="1" spans="1:6">
      <c r="A8952" s="9">
        <v>8949</v>
      </c>
      <c r="B8952" s="10" t="s">
        <v>8339</v>
      </c>
      <c r="C8952" s="10" t="s">
        <v>8340</v>
      </c>
      <c r="D8952" s="10" t="s">
        <v>8536</v>
      </c>
      <c r="E8952" s="10" t="str">
        <f>"644020240516220620184238"</f>
        <v>644020240516220620184238</v>
      </c>
      <c r="F8952" s="9"/>
    </row>
    <row r="8953" s="2" customFormat="1" ht="30" customHeight="1" spans="1:6">
      <c r="A8953" s="9">
        <v>8950</v>
      </c>
      <c r="B8953" s="10" t="s">
        <v>8339</v>
      </c>
      <c r="C8953" s="10" t="s">
        <v>8340</v>
      </c>
      <c r="D8953" s="10" t="s">
        <v>8537</v>
      </c>
      <c r="E8953" s="10" t="str">
        <f>"644020240516170601183777"</f>
        <v>644020240516170601183777</v>
      </c>
      <c r="F8953" s="9"/>
    </row>
    <row r="8954" s="2" customFormat="1" ht="30" customHeight="1" spans="1:6">
      <c r="A8954" s="9">
        <v>8951</v>
      </c>
      <c r="B8954" s="10" t="s">
        <v>8339</v>
      </c>
      <c r="C8954" s="10" t="s">
        <v>8340</v>
      </c>
      <c r="D8954" s="10" t="s">
        <v>8538</v>
      </c>
      <c r="E8954" s="10" t="str">
        <f>"644020240516215810184216"</f>
        <v>644020240516215810184216</v>
      </c>
      <c r="F8954" s="9"/>
    </row>
    <row r="8955" s="2" customFormat="1" ht="30" customHeight="1" spans="1:6">
      <c r="A8955" s="9">
        <v>8952</v>
      </c>
      <c r="B8955" s="10" t="s">
        <v>8339</v>
      </c>
      <c r="C8955" s="10" t="s">
        <v>8340</v>
      </c>
      <c r="D8955" s="10" t="s">
        <v>8539</v>
      </c>
      <c r="E8955" s="10" t="str">
        <f>"644020240516220431184233"</f>
        <v>644020240516220431184233</v>
      </c>
      <c r="F8955" s="9"/>
    </row>
    <row r="8956" s="2" customFormat="1" ht="30" customHeight="1" spans="1:6">
      <c r="A8956" s="9">
        <v>8953</v>
      </c>
      <c r="B8956" s="10" t="s">
        <v>8339</v>
      </c>
      <c r="C8956" s="10" t="s">
        <v>8340</v>
      </c>
      <c r="D8956" s="10" t="s">
        <v>8540</v>
      </c>
      <c r="E8956" s="10" t="str">
        <f>"644020240516221620184259"</f>
        <v>644020240516221620184259</v>
      </c>
      <c r="F8956" s="9"/>
    </row>
    <row r="8957" s="2" customFormat="1" ht="30" customHeight="1" spans="1:6">
      <c r="A8957" s="9">
        <v>8954</v>
      </c>
      <c r="B8957" s="10" t="s">
        <v>8339</v>
      </c>
      <c r="C8957" s="10" t="s">
        <v>8340</v>
      </c>
      <c r="D8957" s="10" t="s">
        <v>8541</v>
      </c>
      <c r="E8957" s="10" t="str">
        <f>"644020240516222235184277"</f>
        <v>644020240516222235184277</v>
      </c>
      <c r="F8957" s="9"/>
    </row>
    <row r="8958" s="2" customFormat="1" ht="30" customHeight="1" spans="1:6">
      <c r="A8958" s="9">
        <v>8955</v>
      </c>
      <c r="B8958" s="10" t="s">
        <v>8339</v>
      </c>
      <c r="C8958" s="10" t="s">
        <v>8340</v>
      </c>
      <c r="D8958" s="10" t="s">
        <v>8542</v>
      </c>
      <c r="E8958" s="10" t="str">
        <f>"644020240516183247183938"</f>
        <v>644020240516183247183938</v>
      </c>
      <c r="F8958" s="9"/>
    </row>
    <row r="8959" s="2" customFormat="1" ht="30" customHeight="1" spans="1:6">
      <c r="A8959" s="9">
        <v>8956</v>
      </c>
      <c r="B8959" s="10" t="s">
        <v>8339</v>
      </c>
      <c r="C8959" s="10" t="s">
        <v>8340</v>
      </c>
      <c r="D8959" s="10" t="s">
        <v>8543</v>
      </c>
      <c r="E8959" s="10" t="str">
        <f>"644020240516203806184084"</f>
        <v>644020240516203806184084</v>
      </c>
      <c r="F8959" s="9"/>
    </row>
    <row r="8960" s="2" customFormat="1" ht="30" customHeight="1" spans="1:6">
      <c r="A8960" s="9">
        <v>8957</v>
      </c>
      <c r="B8960" s="10" t="s">
        <v>8339</v>
      </c>
      <c r="C8960" s="10" t="s">
        <v>8340</v>
      </c>
      <c r="D8960" s="10" t="s">
        <v>8544</v>
      </c>
      <c r="E8960" s="10" t="str">
        <f>"644020240513234541177616"</f>
        <v>644020240513234541177616</v>
      </c>
      <c r="F8960" s="9"/>
    </row>
    <row r="8961" s="2" customFormat="1" ht="30" customHeight="1" spans="1:6">
      <c r="A8961" s="9">
        <v>8958</v>
      </c>
      <c r="B8961" s="10" t="s">
        <v>8339</v>
      </c>
      <c r="C8961" s="10" t="s">
        <v>8340</v>
      </c>
      <c r="D8961" s="10" t="s">
        <v>8545</v>
      </c>
      <c r="E8961" s="10" t="str">
        <f>"644020240516225017184337"</f>
        <v>644020240516225017184337</v>
      </c>
      <c r="F8961" s="9"/>
    </row>
    <row r="8962" s="2" customFormat="1" ht="30" customHeight="1" spans="1:6">
      <c r="A8962" s="9">
        <v>8959</v>
      </c>
      <c r="B8962" s="10" t="s">
        <v>8339</v>
      </c>
      <c r="C8962" s="10" t="s">
        <v>8340</v>
      </c>
      <c r="D8962" s="10" t="s">
        <v>8546</v>
      </c>
      <c r="E8962" s="10" t="str">
        <f>"644020240513153122175481"</f>
        <v>644020240513153122175481</v>
      </c>
      <c r="F8962" s="9"/>
    </row>
    <row r="8963" s="2" customFormat="1" ht="30" customHeight="1" spans="1:6">
      <c r="A8963" s="9">
        <v>8960</v>
      </c>
      <c r="B8963" s="10" t="s">
        <v>8339</v>
      </c>
      <c r="C8963" s="10" t="s">
        <v>8340</v>
      </c>
      <c r="D8963" s="10" t="s">
        <v>8547</v>
      </c>
      <c r="E8963" s="10" t="str">
        <f>"644020240514002643177673"</f>
        <v>644020240514002643177673</v>
      </c>
      <c r="F8963" s="9"/>
    </row>
    <row r="8964" s="2" customFormat="1" ht="30" customHeight="1" spans="1:6">
      <c r="A8964" s="9">
        <v>8961</v>
      </c>
      <c r="B8964" s="10" t="s">
        <v>8339</v>
      </c>
      <c r="C8964" s="10" t="s">
        <v>8340</v>
      </c>
      <c r="D8964" s="10" t="s">
        <v>8548</v>
      </c>
      <c r="E8964" s="10" t="str">
        <f>"644020240516233959184425"</f>
        <v>644020240516233959184425</v>
      </c>
      <c r="F8964" s="9"/>
    </row>
    <row r="8965" s="2" customFormat="1" ht="30" customHeight="1" spans="1:6">
      <c r="A8965" s="9">
        <v>8962</v>
      </c>
      <c r="B8965" s="10" t="s">
        <v>8339</v>
      </c>
      <c r="C8965" s="10" t="s">
        <v>8340</v>
      </c>
      <c r="D8965" s="10" t="s">
        <v>8549</v>
      </c>
      <c r="E8965" s="10" t="str">
        <f>"644020240516012153182687"</f>
        <v>644020240516012153182687</v>
      </c>
      <c r="F8965" s="9"/>
    </row>
    <row r="8966" s="2" customFormat="1" ht="30" customHeight="1" spans="1:6">
      <c r="A8966" s="9">
        <v>8963</v>
      </c>
      <c r="B8966" s="10" t="s">
        <v>8339</v>
      </c>
      <c r="C8966" s="10" t="s">
        <v>8340</v>
      </c>
      <c r="D8966" s="10" t="s">
        <v>8550</v>
      </c>
      <c r="E8966" s="10" t="str">
        <f>"644020240517013442184532"</f>
        <v>644020240517013442184532</v>
      </c>
      <c r="F8966" s="9"/>
    </row>
    <row r="8967" s="2" customFormat="1" ht="30" customHeight="1" spans="1:6">
      <c r="A8967" s="9">
        <v>8964</v>
      </c>
      <c r="B8967" s="10" t="s">
        <v>8339</v>
      </c>
      <c r="C8967" s="10" t="s">
        <v>8340</v>
      </c>
      <c r="D8967" s="10" t="s">
        <v>8551</v>
      </c>
      <c r="E8967" s="10" t="str">
        <f>"644020240517074937184589"</f>
        <v>644020240517074937184589</v>
      </c>
      <c r="F8967" s="9"/>
    </row>
    <row r="8968" s="2" customFormat="1" ht="30" customHeight="1" spans="1:6">
      <c r="A8968" s="9">
        <v>8965</v>
      </c>
      <c r="B8968" s="10" t="s">
        <v>8339</v>
      </c>
      <c r="C8968" s="10" t="s">
        <v>8340</v>
      </c>
      <c r="D8968" s="10" t="s">
        <v>8552</v>
      </c>
      <c r="E8968" s="10" t="str">
        <f>"644020240517080748184606"</f>
        <v>644020240517080748184606</v>
      </c>
      <c r="F8968" s="9"/>
    </row>
    <row r="8969" s="2" customFormat="1" ht="30" customHeight="1" spans="1:6">
      <c r="A8969" s="9">
        <v>8966</v>
      </c>
      <c r="B8969" s="10" t="s">
        <v>8339</v>
      </c>
      <c r="C8969" s="10" t="s">
        <v>8340</v>
      </c>
      <c r="D8969" s="10" t="s">
        <v>8553</v>
      </c>
      <c r="E8969" s="10" t="str">
        <f>"644020240516235947184460"</f>
        <v>644020240516235947184460</v>
      </c>
      <c r="F8969" s="9"/>
    </row>
    <row r="8970" s="2" customFormat="1" ht="30" customHeight="1" spans="1:6">
      <c r="A8970" s="9">
        <v>8967</v>
      </c>
      <c r="B8970" s="10" t="s">
        <v>8339</v>
      </c>
      <c r="C8970" s="10" t="s">
        <v>8340</v>
      </c>
      <c r="D8970" s="10" t="s">
        <v>8554</v>
      </c>
      <c r="E8970" s="10" t="str">
        <f>"644020240517092519184734"</f>
        <v>644020240517092519184734</v>
      </c>
      <c r="F8970" s="9"/>
    </row>
    <row r="8971" s="2" customFormat="1" ht="30" customHeight="1" spans="1:6">
      <c r="A8971" s="9">
        <v>8968</v>
      </c>
      <c r="B8971" s="10" t="s">
        <v>8339</v>
      </c>
      <c r="C8971" s="10" t="s">
        <v>8340</v>
      </c>
      <c r="D8971" s="10" t="s">
        <v>8555</v>
      </c>
      <c r="E8971" s="10" t="str">
        <f>"644020240516223032184295"</f>
        <v>644020240516223032184295</v>
      </c>
      <c r="F8971" s="9"/>
    </row>
    <row r="8972" s="2" customFormat="1" ht="30" customHeight="1" spans="1:6">
      <c r="A8972" s="9">
        <v>8969</v>
      </c>
      <c r="B8972" s="10" t="s">
        <v>8339</v>
      </c>
      <c r="C8972" s="10" t="s">
        <v>8340</v>
      </c>
      <c r="D8972" s="10" t="s">
        <v>3865</v>
      </c>
      <c r="E8972" s="10" t="str">
        <f>"644020240516103152183033"</f>
        <v>644020240516103152183033</v>
      </c>
      <c r="F8972" s="9"/>
    </row>
    <row r="8973" s="2" customFormat="1" ht="30" customHeight="1" spans="1:6">
      <c r="A8973" s="9">
        <v>8970</v>
      </c>
      <c r="B8973" s="10" t="s">
        <v>8339</v>
      </c>
      <c r="C8973" s="10" t="s">
        <v>8340</v>
      </c>
      <c r="D8973" s="10" t="s">
        <v>8556</v>
      </c>
      <c r="E8973" s="10" t="str">
        <f>"644020240517094530184775"</f>
        <v>644020240517094530184775</v>
      </c>
      <c r="F8973" s="9"/>
    </row>
    <row r="8974" s="2" customFormat="1" ht="30" customHeight="1" spans="1:6">
      <c r="A8974" s="9">
        <v>8971</v>
      </c>
      <c r="B8974" s="10" t="s">
        <v>8339</v>
      </c>
      <c r="C8974" s="10" t="s">
        <v>8340</v>
      </c>
      <c r="D8974" s="10" t="s">
        <v>8557</v>
      </c>
      <c r="E8974" s="10" t="str">
        <f>"644020240516182401183920"</f>
        <v>644020240516182401183920</v>
      </c>
      <c r="F8974" s="9"/>
    </row>
    <row r="8975" s="2" customFormat="1" ht="30" customHeight="1" spans="1:6">
      <c r="A8975" s="9">
        <v>8972</v>
      </c>
      <c r="B8975" s="10" t="s">
        <v>8339</v>
      </c>
      <c r="C8975" s="10" t="s">
        <v>8340</v>
      </c>
      <c r="D8975" s="10" t="s">
        <v>8558</v>
      </c>
      <c r="E8975" s="10" t="str">
        <f>"644020240517093359184754"</f>
        <v>644020240517093359184754</v>
      </c>
      <c r="F8975" s="9"/>
    </row>
    <row r="8976" s="2" customFormat="1" ht="30" customHeight="1" spans="1:6">
      <c r="A8976" s="9">
        <v>8973</v>
      </c>
      <c r="B8976" s="10" t="s">
        <v>8339</v>
      </c>
      <c r="C8976" s="10" t="s">
        <v>8340</v>
      </c>
      <c r="D8976" s="10" t="s">
        <v>8559</v>
      </c>
      <c r="E8976" s="10" t="str">
        <f>"644020240517095942184811"</f>
        <v>644020240517095942184811</v>
      </c>
      <c r="F8976" s="9"/>
    </row>
    <row r="8977" s="2" customFormat="1" ht="30" customHeight="1" spans="1:6">
      <c r="A8977" s="9">
        <v>8974</v>
      </c>
      <c r="B8977" s="10" t="s">
        <v>8339</v>
      </c>
      <c r="C8977" s="10" t="s">
        <v>8340</v>
      </c>
      <c r="D8977" s="10" t="s">
        <v>8560</v>
      </c>
      <c r="E8977" s="10" t="str">
        <f>"644020240517104121184908"</f>
        <v>644020240517104121184908</v>
      </c>
      <c r="F8977" s="9"/>
    </row>
    <row r="8978" s="2" customFormat="1" ht="30" customHeight="1" spans="1:6">
      <c r="A8978" s="9">
        <v>8975</v>
      </c>
      <c r="B8978" s="10" t="s">
        <v>8339</v>
      </c>
      <c r="C8978" s="10" t="s">
        <v>8340</v>
      </c>
      <c r="D8978" s="10" t="s">
        <v>8561</v>
      </c>
      <c r="E8978" s="10" t="str">
        <f>"644020240517103959184906"</f>
        <v>644020240517103959184906</v>
      </c>
      <c r="F8978" s="9"/>
    </row>
    <row r="8979" s="2" customFormat="1" ht="30" customHeight="1" spans="1:6">
      <c r="A8979" s="9">
        <v>8976</v>
      </c>
      <c r="B8979" s="10" t="s">
        <v>8339</v>
      </c>
      <c r="C8979" s="10" t="s">
        <v>8340</v>
      </c>
      <c r="D8979" s="10" t="s">
        <v>8562</v>
      </c>
      <c r="E8979" s="10" t="str">
        <f>"644020240517082357184621"</f>
        <v>644020240517082357184621</v>
      </c>
      <c r="F8979" s="9"/>
    </row>
    <row r="8980" s="2" customFormat="1" ht="30" customHeight="1" spans="1:6">
      <c r="A8980" s="9">
        <v>8977</v>
      </c>
      <c r="B8980" s="10" t="s">
        <v>8339</v>
      </c>
      <c r="C8980" s="10" t="s">
        <v>8340</v>
      </c>
      <c r="D8980" s="10" t="s">
        <v>8563</v>
      </c>
      <c r="E8980" s="10" t="str">
        <f>"644020240517095449184799"</f>
        <v>644020240517095449184799</v>
      </c>
      <c r="F8980" s="9"/>
    </row>
    <row r="8981" s="2" customFormat="1" ht="30" customHeight="1" spans="1:6">
      <c r="A8981" s="9">
        <v>8978</v>
      </c>
      <c r="B8981" s="10" t="s">
        <v>8339</v>
      </c>
      <c r="C8981" s="10" t="s">
        <v>8340</v>
      </c>
      <c r="D8981" s="10" t="s">
        <v>8564</v>
      </c>
      <c r="E8981" s="10" t="str">
        <f>"644020240515105619181134"</f>
        <v>644020240515105619181134</v>
      </c>
      <c r="F8981" s="9"/>
    </row>
    <row r="8982" s="2" customFormat="1" ht="30" customHeight="1" spans="1:6">
      <c r="A8982" s="9">
        <v>8979</v>
      </c>
      <c r="B8982" s="10" t="s">
        <v>8339</v>
      </c>
      <c r="C8982" s="10" t="s">
        <v>8340</v>
      </c>
      <c r="D8982" s="10" t="s">
        <v>8565</v>
      </c>
      <c r="E8982" s="10" t="str">
        <f>"644020240513141229174855"</f>
        <v>644020240513141229174855</v>
      </c>
      <c r="F8982" s="9"/>
    </row>
    <row r="8983" s="2" customFormat="1" ht="30" customHeight="1" spans="1:6">
      <c r="A8983" s="9">
        <v>8980</v>
      </c>
      <c r="B8983" s="10" t="s">
        <v>8339</v>
      </c>
      <c r="C8983" s="10" t="s">
        <v>8340</v>
      </c>
      <c r="D8983" s="10" t="s">
        <v>8566</v>
      </c>
      <c r="E8983" s="10" t="str">
        <f>"644020240517114645185054"</f>
        <v>644020240517114645185054</v>
      </c>
      <c r="F8983" s="9"/>
    </row>
    <row r="8984" s="2" customFormat="1" ht="30" customHeight="1" spans="1:6">
      <c r="A8984" s="9">
        <v>8981</v>
      </c>
      <c r="B8984" s="10" t="s">
        <v>8339</v>
      </c>
      <c r="C8984" s="10" t="s">
        <v>8340</v>
      </c>
      <c r="D8984" s="10" t="s">
        <v>8567</v>
      </c>
      <c r="E8984" s="10" t="str">
        <f>"644020240517120509185085"</f>
        <v>644020240517120509185085</v>
      </c>
      <c r="F8984" s="9"/>
    </row>
    <row r="8985" s="2" customFormat="1" ht="30" customHeight="1" spans="1:6">
      <c r="A8985" s="9">
        <v>8982</v>
      </c>
      <c r="B8985" s="10" t="s">
        <v>8339</v>
      </c>
      <c r="C8985" s="10" t="s">
        <v>8340</v>
      </c>
      <c r="D8985" s="10" t="s">
        <v>8568</v>
      </c>
      <c r="E8985" s="10" t="str">
        <f>"644020240517120332185083"</f>
        <v>644020240517120332185083</v>
      </c>
      <c r="F8985" s="9"/>
    </row>
    <row r="8986" s="2" customFormat="1" ht="30" customHeight="1" spans="1:6">
      <c r="A8986" s="9">
        <v>8983</v>
      </c>
      <c r="B8986" s="10" t="s">
        <v>8339</v>
      </c>
      <c r="C8986" s="10" t="s">
        <v>8340</v>
      </c>
      <c r="D8986" s="10" t="s">
        <v>8569</v>
      </c>
      <c r="E8986" s="10" t="str">
        <f>"644020240517100938184831"</f>
        <v>644020240517100938184831</v>
      </c>
      <c r="F8986" s="9"/>
    </row>
    <row r="8987" s="2" customFormat="1" ht="30" customHeight="1" spans="1:6">
      <c r="A8987" s="9">
        <v>8984</v>
      </c>
      <c r="B8987" s="10" t="s">
        <v>8339</v>
      </c>
      <c r="C8987" s="10" t="s">
        <v>8340</v>
      </c>
      <c r="D8987" s="10" t="s">
        <v>8570</v>
      </c>
      <c r="E8987" s="10" t="str">
        <f>"644020240517132549185255"</f>
        <v>644020240517132549185255</v>
      </c>
      <c r="F8987" s="9"/>
    </row>
    <row r="8988" s="2" customFormat="1" ht="30" customHeight="1" spans="1:6">
      <c r="A8988" s="9">
        <v>8985</v>
      </c>
      <c r="B8988" s="10" t="s">
        <v>8339</v>
      </c>
      <c r="C8988" s="10" t="s">
        <v>8340</v>
      </c>
      <c r="D8988" s="10" t="s">
        <v>4261</v>
      </c>
      <c r="E8988" s="10" t="str">
        <f>"644020240517141237185332"</f>
        <v>644020240517141237185332</v>
      </c>
      <c r="F8988" s="9"/>
    </row>
    <row r="8989" s="2" customFormat="1" ht="30" customHeight="1" spans="1:6">
      <c r="A8989" s="9">
        <v>8986</v>
      </c>
      <c r="B8989" s="10" t="s">
        <v>8339</v>
      </c>
      <c r="C8989" s="10" t="s">
        <v>8340</v>
      </c>
      <c r="D8989" s="10" t="s">
        <v>8571</v>
      </c>
      <c r="E8989" s="10" t="str">
        <f>"644020240515151802181660"</f>
        <v>644020240515151802181660</v>
      </c>
      <c r="F8989" s="9"/>
    </row>
    <row r="8990" s="2" customFormat="1" ht="30" customHeight="1" spans="1:6">
      <c r="A8990" s="9">
        <v>8987</v>
      </c>
      <c r="B8990" s="10" t="s">
        <v>8339</v>
      </c>
      <c r="C8990" s="10" t="s">
        <v>8340</v>
      </c>
      <c r="D8990" s="10" t="s">
        <v>8572</v>
      </c>
      <c r="E8990" s="10" t="str">
        <f>"644020240516170637183782"</f>
        <v>644020240516170637183782</v>
      </c>
      <c r="F8990" s="9"/>
    </row>
    <row r="8991" s="2" customFormat="1" ht="30" customHeight="1" spans="1:6">
      <c r="A8991" s="9">
        <v>8988</v>
      </c>
      <c r="B8991" s="10" t="s">
        <v>8339</v>
      </c>
      <c r="C8991" s="10" t="s">
        <v>8340</v>
      </c>
      <c r="D8991" s="10" t="s">
        <v>8573</v>
      </c>
      <c r="E8991" s="10" t="str">
        <f>"644020240517143059185365"</f>
        <v>644020240517143059185365</v>
      </c>
      <c r="F8991" s="9"/>
    </row>
    <row r="8992" s="2" customFormat="1" ht="30" customHeight="1" spans="1:6">
      <c r="A8992" s="9">
        <v>8989</v>
      </c>
      <c r="B8992" s="10" t="s">
        <v>8339</v>
      </c>
      <c r="C8992" s="10" t="s">
        <v>8340</v>
      </c>
      <c r="D8992" s="10" t="s">
        <v>8574</v>
      </c>
      <c r="E8992" s="10" t="str">
        <f>"644020240517145039185395"</f>
        <v>644020240517145039185395</v>
      </c>
      <c r="F8992" s="9"/>
    </row>
    <row r="8993" s="2" customFormat="1" ht="30" customHeight="1" spans="1:6">
      <c r="A8993" s="9">
        <v>8990</v>
      </c>
      <c r="B8993" s="10" t="s">
        <v>8339</v>
      </c>
      <c r="C8993" s="10" t="s">
        <v>8340</v>
      </c>
      <c r="D8993" s="10" t="s">
        <v>8575</v>
      </c>
      <c r="E8993" s="10" t="str">
        <f>"644020240516203520184073"</f>
        <v>644020240516203520184073</v>
      </c>
      <c r="F8993" s="9"/>
    </row>
    <row r="8994" s="2" customFormat="1" ht="30" customHeight="1" spans="1:6">
      <c r="A8994" s="9">
        <v>8991</v>
      </c>
      <c r="B8994" s="10" t="s">
        <v>8339</v>
      </c>
      <c r="C8994" s="10" t="s">
        <v>8340</v>
      </c>
      <c r="D8994" s="10" t="s">
        <v>8576</v>
      </c>
      <c r="E8994" s="10" t="str">
        <f>"644020240516233731184421"</f>
        <v>644020240516233731184421</v>
      </c>
      <c r="F8994" s="9"/>
    </row>
    <row r="8995" s="2" customFormat="1" ht="30" customHeight="1" spans="1:6">
      <c r="A8995" s="9">
        <v>8992</v>
      </c>
      <c r="B8995" s="10" t="s">
        <v>8339</v>
      </c>
      <c r="C8995" s="10" t="s">
        <v>8340</v>
      </c>
      <c r="D8995" s="10" t="s">
        <v>8577</v>
      </c>
      <c r="E8995" s="10" t="str">
        <f>"644020240517111002184973"</f>
        <v>644020240517111002184973</v>
      </c>
      <c r="F8995" s="9"/>
    </row>
    <row r="8996" s="2" customFormat="1" ht="30" customHeight="1" spans="1:6">
      <c r="A8996" s="9">
        <v>8993</v>
      </c>
      <c r="B8996" s="10" t="s">
        <v>8339</v>
      </c>
      <c r="C8996" s="10" t="s">
        <v>8340</v>
      </c>
      <c r="D8996" s="10" t="s">
        <v>8578</v>
      </c>
      <c r="E8996" s="10" t="str">
        <f>"644020240517125319185183"</f>
        <v>644020240517125319185183</v>
      </c>
      <c r="F8996" s="9"/>
    </row>
    <row r="8997" s="2" customFormat="1" ht="30" customHeight="1" spans="1:6">
      <c r="A8997" s="9">
        <v>8994</v>
      </c>
      <c r="B8997" s="10" t="s">
        <v>8339</v>
      </c>
      <c r="C8997" s="10" t="s">
        <v>8340</v>
      </c>
      <c r="D8997" s="10" t="s">
        <v>8579</v>
      </c>
      <c r="E8997" s="10" t="str">
        <f>"644020240517170451185710"</f>
        <v>644020240517170451185710</v>
      </c>
      <c r="F8997" s="9"/>
    </row>
    <row r="8998" s="2" customFormat="1" ht="30" customHeight="1" spans="1:6">
      <c r="A8998" s="9">
        <v>8995</v>
      </c>
      <c r="B8998" s="10" t="s">
        <v>8339</v>
      </c>
      <c r="C8998" s="10" t="s">
        <v>8340</v>
      </c>
      <c r="D8998" s="10" t="s">
        <v>8580</v>
      </c>
      <c r="E8998" s="10" t="str">
        <f>"644020240515122649181368"</f>
        <v>644020240515122649181368</v>
      </c>
      <c r="F8998" s="9"/>
    </row>
    <row r="8999" s="2" customFormat="1" ht="30" customHeight="1" spans="1:6">
      <c r="A8999" s="9">
        <v>8996</v>
      </c>
      <c r="B8999" s="10" t="s">
        <v>8339</v>
      </c>
      <c r="C8999" s="10" t="s">
        <v>8340</v>
      </c>
      <c r="D8999" s="10" t="s">
        <v>8581</v>
      </c>
      <c r="E8999" s="10" t="str">
        <f>"644020240517161053185614"</f>
        <v>644020240517161053185614</v>
      </c>
      <c r="F8999" s="9"/>
    </row>
    <row r="9000" s="2" customFormat="1" ht="30" customHeight="1" spans="1:6">
      <c r="A9000" s="9">
        <v>8997</v>
      </c>
      <c r="B9000" s="10" t="s">
        <v>8339</v>
      </c>
      <c r="C9000" s="10" t="s">
        <v>8340</v>
      </c>
      <c r="D9000" s="10" t="s">
        <v>8582</v>
      </c>
      <c r="E9000" s="10" t="str">
        <f>"644020240517171323185726"</f>
        <v>644020240517171323185726</v>
      </c>
      <c r="F9000" s="9"/>
    </row>
    <row r="9001" s="2" customFormat="1" ht="30" customHeight="1" spans="1:6">
      <c r="A9001" s="9">
        <v>8998</v>
      </c>
      <c r="B9001" s="10" t="s">
        <v>8339</v>
      </c>
      <c r="C9001" s="10" t="s">
        <v>8340</v>
      </c>
      <c r="D9001" s="10" t="s">
        <v>8583</v>
      </c>
      <c r="E9001" s="10" t="str">
        <f>"644020240517165942185701"</f>
        <v>644020240517165942185701</v>
      </c>
      <c r="F9001" s="9"/>
    </row>
    <row r="9002" s="2" customFormat="1" ht="30" customHeight="1" spans="1:6">
      <c r="A9002" s="9">
        <v>8999</v>
      </c>
      <c r="B9002" s="10" t="s">
        <v>8339</v>
      </c>
      <c r="C9002" s="10" t="s">
        <v>8340</v>
      </c>
      <c r="D9002" s="10" t="s">
        <v>8584</v>
      </c>
      <c r="E9002" s="10" t="str">
        <f>"644020240514150325179215"</f>
        <v>644020240514150325179215</v>
      </c>
      <c r="F9002" s="9"/>
    </row>
    <row r="9003" s="2" customFormat="1" ht="30" customHeight="1" spans="1:6">
      <c r="A9003" s="9">
        <v>9000</v>
      </c>
      <c r="B9003" s="10" t="s">
        <v>8339</v>
      </c>
      <c r="C9003" s="10" t="s">
        <v>8340</v>
      </c>
      <c r="D9003" s="10" t="s">
        <v>8585</v>
      </c>
      <c r="E9003" s="10" t="str">
        <f>"644020240517141139185331"</f>
        <v>644020240517141139185331</v>
      </c>
      <c r="F9003" s="9"/>
    </row>
    <row r="9004" s="2" customFormat="1" ht="30" customHeight="1" spans="1:6">
      <c r="A9004" s="9">
        <v>9001</v>
      </c>
      <c r="B9004" s="10" t="s">
        <v>8339</v>
      </c>
      <c r="C9004" s="10" t="s">
        <v>8340</v>
      </c>
      <c r="D9004" s="10" t="s">
        <v>8586</v>
      </c>
      <c r="E9004" s="10" t="str">
        <f>"644020240515103639181072"</f>
        <v>644020240515103639181072</v>
      </c>
      <c r="F9004" s="9"/>
    </row>
    <row r="9005" s="2" customFormat="1" ht="30" customHeight="1" spans="1:6">
      <c r="A9005" s="9">
        <v>9002</v>
      </c>
      <c r="B9005" s="10" t="s">
        <v>8339</v>
      </c>
      <c r="C9005" s="10" t="s">
        <v>8340</v>
      </c>
      <c r="D9005" s="10" t="s">
        <v>2140</v>
      </c>
      <c r="E9005" s="10" t="str">
        <f>"644020240517180145185794"</f>
        <v>644020240517180145185794</v>
      </c>
      <c r="F9005" s="9"/>
    </row>
    <row r="9006" s="2" customFormat="1" ht="30" customHeight="1" spans="1:6">
      <c r="A9006" s="9">
        <v>9003</v>
      </c>
      <c r="B9006" s="10" t="s">
        <v>8339</v>
      </c>
      <c r="C9006" s="10" t="s">
        <v>8340</v>
      </c>
      <c r="D9006" s="10" t="s">
        <v>8587</v>
      </c>
      <c r="E9006" s="10" t="str">
        <f>"644020240514173050179711"</f>
        <v>644020240514173050179711</v>
      </c>
      <c r="F9006" s="9"/>
    </row>
    <row r="9007" s="2" customFormat="1" ht="30" customHeight="1" spans="1:6">
      <c r="A9007" s="9">
        <v>9004</v>
      </c>
      <c r="B9007" s="10" t="s">
        <v>8339</v>
      </c>
      <c r="C9007" s="10" t="s">
        <v>8340</v>
      </c>
      <c r="D9007" s="10" t="s">
        <v>5673</v>
      </c>
      <c r="E9007" s="10" t="str">
        <f>"644020240517170709185714"</f>
        <v>644020240517170709185714</v>
      </c>
      <c r="F9007" s="9"/>
    </row>
    <row r="9008" s="2" customFormat="1" ht="30" customHeight="1" spans="1:6">
      <c r="A9008" s="9">
        <v>9005</v>
      </c>
      <c r="B9008" s="10" t="s">
        <v>8339</v>
      </c>
      <c r="C9008" s="10" t="s">
        <v>8340</v>
      </c>
      <c r="D9008" s="10" t="s">
        <v>8588</v>
      </c>
      <c r="E9008" s="10" t="str">
        <f>"644020240514002504177672"</f>
        <v>644020240514002504177672</v>
      </c>
      <c r="F9008" s="9"/>
    </row>
    <row r="9009" s="2" customFormat="1" ht="30" customHeight="1" spans="1:6">
      <c r="A9009" s="9">
        <v>9006</v>
      </c>
      <c r="B9009" s="10" t="s">
        <v>8339</v>
      </c>
      <c r="C9009" s="10" t="s">
        <v>8340</v>
      </c>
      <c r="D9009" s="10" t="s">
        <v>8589</v>
      </c>
      <c r="E9009" s="10" t="str">
        <f>"644020240517185140185861"</f>
        <v>644020240517185140185861</v>
      </c>
      <c r="F9009" s="9"/>
    </row>
    <row r="9010" s="2" customFormat="1" ht="30" customHeight="1" spans="1:6">
      <c r="A9010" s="9">
        <v>9007</v>
      </c>
      <c r="B9010" s="10" t="s">
        <v>8339</v>
      </c>
      <c r="C9010" s="10" t="s">
        <v>8340</v>
      </c>
      <c r="D9010" s="10" t="s">
        <v>8590</v>
      </c>
      <c r="E9010" s="10" t="str">
        <f>"644020240517190850185876"</f>
        <v>644020240517190850185876</v>
      </c>
      <c r="F9010" s="9"/>
    </row>
    <row r="9011" s="2" customFormat="1" ht="30" customHeight="1" spans="1:6">
      <c r="A9011" s="9">
        <v>9008</v>
      </c>
      <c r="B9011" s="10" t="s">
        <v>8339</v>
      </c>
      <c r="C9011" s="10" t="s">
        <v>8340</v>
      </c>
      <c r="D9011" s="10" t="s">
        <v>8591</v>
      </c>
      <c r="E9011" s="10" t="str">
        <f>"644020240517193556185896"</f>
        <v>644020240517193556185896</v>
      </c>
      <c r="F9011" s="9"/>
    </row>
    <row r="9012" s="2" customFormat="1" ht="30" customHeight="1" spans="1:6">
      <c r="A9012" s="9">
        <v>9009</v>
      </c>
      <c r="B9012" s="10" t="s">
        <v>8339</v>
      </c>
      <c r="C9012" s="10" t="s">
        <v>8340</v>
      </c>
      <c r="D9012" s="10" t="s">
        <v>8592</v>
      </c>
      <c r="E9012" s="10" t="str">
        <f>"644020240517183302185839"</f>
        <v>644020240517183302185839</v>
      </c>
      <c r="F9012" s="9"/>
    </row>
    <row r="9013" s="2" customFormat="1" ht="30" customHeight="1" spans="1:6">
      <c r="A9013" s="9">
        <v>9010</v>
      </c>
      <c r="B9013" s="10" t="s">
        <v>8339</v>
      </c>
      <c r="C9013" s="10" t="s">
        <v>8340</v>
      </c>
      <c r="D9013" s="10" t="s">
        <v>8593</v>
      </c>
      <c r="E9013" s="10" t="str">
        <f>"644020240517201915185934"</f>
        <v>644020240517201915185934</v>
      </c>
      <c r="F9013" s="9"/>
    </row>
    <row r="9014" s="2" customFormat="1" ht="30" customHeight="1" spans="1:6">
      <c r="A9014" s="9">
        <v>9011</v>
      </c>
      <c r="B9014" s="10" t="s">
        <v>8339</v>
      </c>
      <c r="C9014" s="10" t="s">
        <v>8340</v>
      </c>
      <c r="D9014" s="10" t="s">
        <v>8594</v>
      </c>
      <c r="E9014" s="10" t="str">
        <f>"644020240517123831185146"</f>
        <v>644020240517123831185146</v>
      </c>
      <c r="F9014" s="9"/>
    </row>
    <row r="9015" s="2" customFormat="1" ht="30" customHeight="1" spans="1:6">
      <c r="A9015" s="9">
        <v>9012</v>
      </c>
      <c r="B9015" s="10" t="s">
        <v>8339</v>
      </c>
      <c r="C9015" s="10" t="s">
        <v>8340</v>
      </c>
      <c r="D9015" s="10" t="s">
        <v>8595</v>
      </c>
      <c r="E9015" s="10" t="str">
        <f>"644020240516143319183437"</f>
        <v>644020240516143319183437</v>
      </c>
      <c r="F9015" s="9"/>
    </row>
    <row r="9016" s="2" customFormat="1" ht="30" customHeight="1" spans="1:6">
      <c r="A9016" s="9">
        <v>9013</v>
      </c>
      <c r="B9016" s="10" t="s">
        <v>8339</v>
      </c>
      <c r="C9016" s="10" t="s">
        <v>8340</v>
      </c>
      <c r="D9016" s="10" t="s">
        <v>8596</v>
      </c>
      <c r="E9016" s="10" t="str">
        <f>"644020240516164501183724"</f>
        <v>644020240516164501183724</v>
      </c>
      <c r="F9016" s="9"/>
    </row>
    <row r="9017" s="2" customFormat="1" ht="30" customHeight="1" spans="1:6">
      <c r="A9017" s="9">
        <v>9014</v>
      </c>
      <c r="B9017" s="10" t="s">
        <v>8339</v>
      </c>
      <c r="C9017" s="10" t="s">
        <v>8340</v>
      </c>
      <c r="D9017" s="10" t="s">
        <v>6052</v>
      </c>
      <c r="E9017" s="10" t="str">
        <f>"644020240517164204185674"</f>
        <v>644020240517164204185674</v>
      </c>
      <c r="F9017" s="9"/>
    </row>
    <row r="9018" s="2" customFormat="1" ht="30" customHeight="1" spans="1:6">
      <c r="A9018" s="9">
        <v>9015</v>
      </c>
      <c r="B9018" s="10" t="s">
        <v>8339</v>
      </c>
      <c r="C9018" s="10" t="s">
        <v>8340</v>
      </c>
      <c r="D9018" s="10" t="s">
        <v>8597</v>
      </c>
      <c r="E9018" s="10" t="str">
        <f>"644020240517174126185762"</f>
        <v>644020240517174126185762</v>
      </c>
      <c r="F9018" s="9"/>
    </row>
    <row r="9019" s="2" customFormat="1" ht="30" customHeight="1" spans="1:6">
      <c r="A9019" s="9">
        <v>9016</v>
      </c>
      <c r="B9019" s="10" t="s">
        <v>8339</v>
      </c>
      <c r="C9019" s="10" t="s">
        <v>8340</v>
      </c>
      <c r="D9019" s="10" t="s">
        <v>8598</v>
      </c>
      <c r="E9019" s="10" t="str">
        <f>"644020240517212410185977"</f>
        <v>644020240517212410185977</v>
      </c>
      <c r="F9019" s="9"/>
    </row>
    <row r="9020" s="2" customFormat="1" ht="30" customHeight="1" spans="1:6">
      <c r="A9020" s="9">
        <v>9017</v>
      </c>
      <c r="B9020" s="10" t="s">
        <v>8339</v>
      </c>
      <c r="C9020" s="10" t="s">
        <v>8340</v>
      </c>
      <c r="D9020" s="10" t="s">
        <v>8599</v>
      </c>
      <c r="E9020" s="10" t="str">
        <f>"644020240517193218185892"</f>
        <v>644020240517193218185892</v>
      </c>
      <c r="F9020" s="9"/>
    </row>
    <row r="9021" s="2" customFormat="1" ht="30" customHeight="1" spans="1:6">
      <c r="A9021" s="9">
        <v>9018</v>
      </c>
      <c r="B9021" s="10" t="s">
        <v>8339</v>
      </c>
      <c r="C9021" s="10" t="s">
        <v>8340</v>
      </c>
      <c r="D9021" s="10" t="s">
        <v>8600</v>
      </c>
      <c r="E9021" s="10" t="str">
        <f>"644020240517213152186008"</f>
        <v>644020240517213152186008</v>
      </c>
      <c r="F9021" s="9"/>
    </row>
    <row r="9022" s="2" customFormat="1" ht="30" customHeight="1" spans="1:6">
      <c r="A9022" s="9">
        <v>9019</v>
      </c>
      <c r="B9022" s="10" t="s">
        <v>8339</v>
      </c>
      <c r="C9022" s="10" t="s">
        <v>8340</v>
      </c>
      <c r="D9022" s="10" t="s">
        <v>8601</v>
      </c>
      <c r="E9022" s="10" t="str">
        <f>"644020240515010044180611"</f>
        <v>644020240515010044180611</v>
      </c>
      <c r="F9022" s="9"/>
    </row>
    <row r="9023" s="2" customFormat="1" ht="30" customHeight="1" spans="1:6">
      <c r="A9023" s="9">
        <v>9020</v>
      </c>
      <c r="B9023" s="10" t="s">
        <v>8339</v>
      </c>
      <c r="C9023" s="10" t="s">
        <v>8340</v>
      </c>
      <c r="D9023" s="10" t="s">
        <v>8602</v>
      </c>
      <c r="E9023" s="10" t="str">
        <f>"644020240517234529186127"</f>
        <v>644020240517234529186127</v>
      </c>
      <c r="F9023" s="9"/>
    </row>
    <row r="9024" s="2" customFormat="1" ht="30" customHeight="1" spans="1:6">
      <c r="A9024" s="9">
        <v>9021</v>
      </c>
      <c r="B9024" s="10" t="s">
        <v>8339</v>
      </c>
      <c r="C9024" s="10" t="s">
        <v>8340</v>
      </c>
      <c r="D9024" s="10" t="s">
        <v>8603</v>
      </c>
      <c r="E9024" s="10" t="str">
        <f>"644020240517160939185609"</f>
        <v>644020240517160939185609</v>
      </c>
      <c r="F9024" s="9"/>
    </row>
    <row r="9025" s="2" customFormat="1" ht="30" customHeight="1" spans="1:6">
      <c r="A9025" s="9">
        <v>9022</v>
      </c>
      <c r="B9025" s="10" t="s">
        <v>8339</v>
      </c>
      <c r="C9025" s="10" t="s">
        <v>8340</v>
      </c>
      <c r="D9025" s="10" t="s">
        <v>8604</v>
      </c>
      <c r="E9025" s="10" t="str">
        <f>"644020240518004028186203"</f>
        <v>644020240518004028186203</v>
      </c>
      <c r="F9025" s="9"/>
    </row>
    <row r="9026" s="2" customFormat="1" ht="30" customHeight="1" spans="1:6">
      <c r="A9026" s="9">
        <v>9023</v>
      </c>
      <c r="B9026" s="10" t="s">
        <v>8339</v>
      </c>
      <c r="C9026" s="10" t="s">
        <v>8340</v>
      </c>
      <c r="D9026" s="10" t="s">
        <v>8605</v>
      </c>
      <c r="E9026" s="10" t="str">
        <f>"644020240518010050186231"</f>
        <v>644020240518010050186231</v>
      </c>
      <c r="F9026" s="9"/>
    </row>
    <row r="9027" s="2" customFormat="1" ht="30" customHeight="1" spans="1:6">
      <c r="A9027" s="9">
        <v>9024</v>
      </c>
      <c r="B9027" s="10" t="s">
        <v>8339</v>
      </c>
      <c r="C9027" s="10" t="s">
        <v>8340</v>
      </c>
      <c r="D9027" s="10" t="s">
        <v>8606</v>
      </c>
      <c r="E9027" s="10" t="str">
        <f>"644020240518012640186249"</f>
        <v>644020240518012640186249</v>
      </c>
      <c r="F9027" s="9"/>
    </row>
    <row r="9028" s="2" customFormat="1" ht="30" customHeight="1" spans="1:6">
      <c r="A9028" s="9">
        <v>9025</v>
      </c>
      <c r="B9028" s="10" t="s">
        <v>8339</v>
      </c>
      <c r="C9028" s="10" t="s">
        <v>8340</v>
      </c>
      <c r="D9028" s="10" t="s">
        <v>8607</v>
      </c>
      <c r="E9028" s="10" t="str">
        <f>"644020240518014210186258"</f>
        <v>644020240518014210186258</v>
      </c>
      <c r="F9028" s="9"/>
    </row>
    <row r="9029" s="2" customFormat="1" ht="30" customHeight="1" spans="1:6">
      <c r="A9029" s="9">
        <v>9026</v>
      </c>
      <c r="B9029" s="10" t="s">
        <v>8339</v>
      </c>
      <c r="C9029" s="10" t="s">
        <v>8340</v>
      </c>
      <c r="D9029" s="10" t="s">
        <v>8608</v>
      </c>
      <c r="E9029" s="10" t="str">
        <f>"644020240518014252186259"</f>
        <v>644020240518014252186259</v>
      </c>
      <c r="F9029" s="9"/>
    </row>
    <row r="9030" s="2" customFormat="1" ht="30" customHeight="1" spans="1:6">
      <c r="A9030" s="9">
        <v>9027</v>
      </c>
      <c r="B9030" s="10" t="s">
        <v>8339</v>
      </c>
      <c r="C9030" s="10" t="s">
        <v>8340</v>
      </c>
      <c r="D9030" s="10" t="s">
        <v>8609</v>
      </c>
      <c r="E9030" s="10" t="str">
        <f>"644020240518015346186266"</f>
        <v>644020240518015346186266</v>
      </c>
      <c r="F9030" s="9"/>
    </row>
    <row r="9031" s="2" customFormat="1" ht="30" customHeight="1" spans="1:6">
      <c r="A9031" s="9">
        <v>9028</v>
      </c>
      <c r="B9031" s="10" t="s">
        <v>8339</v>
      </c>
      <c r="C9031" s="10" t="s">
        <v>8340</v>
      </c>
      <c r="D9031" s="10" t="s">
        <v>796</v>
      </c>
      <c r="E9031" s="10" t="str">
        <f>"644020240518021549186273"</f>
        <v>644020240518021549186273</v>
      </c>
      <c r="F9031" s="9"/>
    </row>
    <row r="9032" s="2" customFormat="1" ht="30" customHeight="1" spans="1:6">
      <c r="A9032" s="9">
        <v>9029</v>
      </c>
      <c r="B9032" s="10" t="s">
        <v>8339</v>
      </c>
      <c r="C9032" s="10" t="s">
        <v>8340</v>
      </c>
      <c r="D9032" s="10" t="s">
        <v>8610</v>
      </c>
      <c r="E9032" s="10" t="str">
        <f>"644020240518041038186302"</f>
        <v>644020240518041038186302</v>
      </c>
      <c r="F9032" s="9"/>
    </row>
    <row r="9033" s="2" customFormat="1" ht="30" customHeight="1" spans="1:6">
      <c r="A9033" s="9">
        <v>9030</v>
      </c>
      <c r="B9033" s="10" t="s">
        <v>8339</v>
      </c>
      <c r="C9033" s="10" t="s">
        <v>8340</v>
      </c>
      <c r="D9033" s="10" t="s">
        <v>820</v>
      </c>
      <c r="E9033" s="10" t="str">
        <f>"644020240518045447186304"</f>
        <v>644020240518045447186304</v>
      </c>
      <c r="F9033" s="9"/>
    </row>
    <row r="9034" s="2" customFormat="1" ht="30" customHeight="1" spans="1:6">
      <c r="A9034" s="9">
        <v>9031</v>
      </c>
      <c r="B9034" s="10" t="s">
        <v>8339</v>
      </c>
      <c r="C9034" s="10" t="s">
        <v>8340</v>
      </c>
      <c r="D9034" s="10" t="s">
        <v>8611</v>
      </c>
      <c r="E9034" s="10" t="str">
        <f>"644020240518074052186350"</f>
        <v>644020240518074052186350</v>
      </c>
      <c r="F9034" s="9"/>
    </row>
    <row r="9035" s="2" customFormat="1" ht="30" customHeight="1" spans="1:6">
      <c r="A9035" s="9">
        <v>9032</v>
      </c>
      <c r="B9035" s="10" t="s">
        <v>8339</v>
      </c>
      <c r="C9035" s="10" t="s">
        <v>8340</v>
      </c>
      <c r="D9035" s="10" t="s">
        <v>5984</v>
      </c>
      <c r="E9035" s="10" t="str">
        <f>"644020240518075114186358"</f>
        <v>644020240518075114186358</v>
      </c>
      <c r="F9035" s="9"/>
    </row>
    <row r="9036" s="2" customFormat="1" ht="30" customHeight="1" spans="1:6">
      <c r="A9036" s="9">
        <v>9033</v>
      </c>
      <c r="B9036" s="10" t="s">
        <v>8339</v>
      </c>
      <c r="C9036" s="10" t="s">
        <v>8340</v>
      </c>
      <c r="D9036" s="10" t="s">
        <v>8612</v>
      </c>
      <c r="E9036" s="10" t="str">
        <f>"644020240518083228186405"</f>
        <v>644020240518083228186405</v>
      </c>
      <c r="F9036" s="9"/>
    </row>
    <row r="9037" s="2" customFormat="1" ht="30" customHeight="1" spans="1:6">
      <c r="A9037" s="9">
        <v>9034</v>
      </c>
      <c r="B9037" s="10" t="s">
        <v>8339</v>
      </c>
      <c r="C9037" s="10" t="s">
        <v>8340</v>
      </c>
      <c r="D9037" s="10" t="s">
        <v>8613</v>
      </c>
      <c r="E9037" s="10" t="str">
        <f>"644020240518082238186391"</f>
        <v>644020240518082238186391</v>
      </c>
      <c r="F9037" s="9"/>
    </row>
    <row r="9038" s="2" customFormat="1" ht="30" customHeight="1" spans="1:6">
      <c r="A9038" s="9">
        <v>9035</v>
      </c>
      <c r="B9038" s="10" t="s">
        <v>8339</v>
      </c>
      <c r="C9038" s="10" t="s">
        <v>8340</v>
      </c>
      <c r="D9038" s="10" t="s">
        <v>8614</v>
      </c>
      <c r="E9038" s="10" t="str">
        <f>"644020240517093239184749"</f>
        <v>644020240517093239184749</v>
      </c>
      <c r="F9038" s="9"/>
    </row>
    <row r="9039" s="2" customFormat="1" ht="30" customHeight="1" spans="1:6">
      <c r="A9039" s="9">
        <v>9036</v>
      </c>
      <c r="B9039" s="10" t="s">
        <v>8339</v>
      </c>
      <c r="C9039" s="10" t="s">
        <v>8340</v>
      </c>
      <c r="D9039" s="10" t="s">
        <v>8615</v>
      </c>
      <c r="E9039" s="10" t="str">
        <f>"644020240518090514186455"</f>
        <v>644020240518090514186455</v>
      </c>
      <c r="F9039" s="9"/>
    </row>
    <row r="9040" s="2" customFormat="1" ht="30" customHeight="1" spans="1:6">
      <c r="A9040" s="9">
        <v>9037</v>
      </c>
      <c r="B9040" s="10" t="s">
        <v>8339</v>
      </c>
      <c r="C9040" s="10" t="s">
        <v>8340</v>
      </c>
      <c r="D9040" s="10" t="s">
        <v>8616</v>
      </c>
      <c r="E9040" s="10" t="str">
        <f>"644020240518092457186492"</f>
        <v>644020240518092457186492</v>
      </c>
      <c r="F9040" s="9"/>
    </row>
    <row r="9041" s="2" customFormat="1" ht="30" customHeight="1" spans="1:6">
      <c r="A9041" s="9">
        <v>9038</v>
      </c>
      <c r="B9041" s="10" t="s">
        <v>8339</v>
      </c>
      <c r="C9041" s="10" t="s">
        <v>8340</v>
      </c>
      <c r="D9041" s="10" t="s">
        <v>8617</v>
      </c>
      <c r="E9041" s="10" t="str">
        <f>"644020240518094340186533"</f>
        <v>644020240518094340186533</v>
      </c>
      <c r="F9041" s="9"/>
    </row>
    <row r="9042" s="2" customFormat="1" ht="30" customHeight="1" spans="1:6">
      <c r="A9042" s="9">
        <v>9039</v>
      </c>
      <c r="B9042" s="10" t="s">
        <v>8339</v>
      </c>
      <c r="C9042" s="10" t="s">
        <v>8340</v>
      </c>
      <c r="D9042" s="10" t="s">
        <v>8618</v>
      </c>
      <c r="E9042" s="10" t="str">
        <f>"644020240517232523186097"</f>
        <v>644020240517232523186097</v>
      </c>
      <c r="F9042" s="9"/>
    </row>
    <row r="9043" s="2" customFormat="1" ht="30" customHeight="1" spans="1:6">
      <c r="A9043" s="9">
        <v>9040</v>
      </c>
      <c r="B9043" s="10" t="s">
        <v>8339</v>
      </c>
      <c r="C9043" s="10" t="s">
        <v>8340</v>
      </c>
      <c r="D9043" s="10" t="s">
        <v>2659</v>
      </c>
      <c r="E9043" s="10" t="str">
        <f>"644020240517173953185759"</f>
        <v>644020240517173953185759</v>
      </c>
      <c r="F9043" s="9"/>
    </row>
    <row r="9044" s="2" customFormat="1" ht="30" customHeight="1" spans="1:6">
      <c r="A9044" s="9">
        <v>9041</v>
      </c>
      <c r="B9044" s="10" t="s">
        <v>8339</v>
      </c>
      <c r="C9044" s="10" t="s">
        <v>8340</v>
      </c>
      <c r="D9044" s="10" t="s">
        <v>8619</v>
      </c>
      <c r="E9044" s="10" t="str">
        <f>"644020240518095154186556"</f>
        <v>644020240518095154186556</v>
      </c>
      <c r="F9044" s="9"/>
    </row>
    <row r="9045" s="2" customFormat="1" ht="30" customHeight="1" spans="1:6">
      <c r="A9045" s="9">
        <v>9042</v>
      </c>
      <c r="B9045" s="10" t="s">
        <v>8339</v>
      </c>
      <c r="C9045" s="10" t="s">
        <v>8340</v>
      </c>
      <c r="D9045" s="10" t="s">
        <v>8620</v>
      </c>
      <c r="E9045" s="10" t="str">
        <f>"644020240518091536186474"</f>
        <v>644020240518091536186474</v>
      </c>
      <c r="F9045" s="9"/>
    </row>
    <row r="9046" s="2" customFormat="1" ht="30" customHeight="1" spans="1:6">
      <c r="A9046" s="9">
        <v>9043</v>
      </c>
      <c r="B9046" s="10" t="s">
        <v>8339</v>
      </c>
      <c r="C9046" s="10" t="s">
        <v>8340</v>
      </c>
      <c r="D9046" s="10" t="s">
        <v>8621</v>
      </c>
      <c r="E9046" s="10" t="str">
        <f>"644020240517223303186063"</f>
        <v>644020240517223303186063</v>
      </c>
      <c r="F9046" s="9"/>
    </row>
    <row r="9047" s="2" customFormat="1" ht="30" customHeight="1" spans="1:6">
      <c r="A9047" s="9">
        <v>9044</v>
      </c>
      <c r="B9047" s="10" t="s">
        <v>8339</v>
      </c>
      <c r="C9047" s="10" t="s">
        <v>8340</v>
      </c>
      <c r="D9047" s="10" t="s">
        <v>8622</v>
      </c>
      <c r="E9047" s="10" t="str">
        <f>"644020240518102632186637"</f>
        <v>644020240518102632186637</v>
      </c>
      <c r="F9047" s="9"/>
    </row>
    <row r="9048" s="2" customFormat="1" ht="30" customHeight="1" spans="1:6">
      <c r="A9048" s="9">
        <v>9045</v>
      </c>
      <c r="B9048" s="10" t="s">
        <v>8339</v>
      </c>
      <c r="C9048" s="10" t="s">
        <v>8340</v>
      </c>
      <c r="D9048" s="10" t="s">
        <v>8623</v>
      </c>
      <c r="E9048" s="10" t="str">
        <f>"644020240516165718183765"</f>
        <v>644020240516165718183765</v>
      </c>
      <c r="F9048" s="9"/>
    </row>
    <row r="9049" s="2" customFormat="1" ht="30" customHeight="1" spans="1:6">
      <c r="A9049" s="9">
        <v>9046</v>
      </c>
      <c r="B9049" s="10" t="s">
        <v>8339</v>
      </c>
      <c r="C9049" s="10" t="s">
        <v>8340</v>
      </c>
      <c r="D9049" s="10" t="s">
        <v>8624</v>
      </c>
      <c r="E9049" s="10" t="str">
        <f>"644020240517174912185775"</f>
        <v>644020240517174912185775</v>
      </c>
      <c r="F9049" s="9"/>
    </row>
    <row r="9050" s="2" customFormat="1" ht="30" customHeight="1" spans="1:6">
      <c r="A9050" s="9">
        <v>9047</v>
      </c>
      <c r="B9050" s="10" t="s">
        <v>8339</v>
      </c>
      <c r="C9050" s="10" t="s">
        <v>8340</v>
      </c>
      <c r="D9050" s="10" t="s">
        <v>8625</v>
      </c>
      <c r="E9050" s="10" t="str">
        <f>"644020240518110846186723"</f>
        <v>644020240518110846186723</v>
      </c>
      <c r="F9050" s="9"/>
    </row>
    <row r="9051" s="2" customFormat="1" ht="30" customHeight="1" spans="1:6">
      <c r="A9051" s="9">
        <v>9048</v>
      </c>
      <c r="B9051" s="10" t="s">
        <v>8339</v>
      </c>
      <c r="C9051" s="10" t="s">
        <v>8340</v>
      </c>
      <c r="D9051" s="10" t="s">
        <v>8626</v>
      </c>
      <c r="E9051" s="10" t="str">
        <f>"644020240518101719186611"</f>
        <v>644020240518101719186611</v>
      </c>
      <c r="F9051" s="9"/>
    </row>
    <row r="9052" s="2" customFormat="1" ht="30" customHeight="1" spans="1:6">
      <c r="A9052" s="9">
        <v>9049</v>
      </c>
      <c r="B9052" s="10" t="s">
        <v>8339</v>
      </c>
      <c r="C9052" s="10" t="s">
        <v>8340</v>
      </c>
      <c r="D9052" s="10" t="s">
        <v>8627</v>
      </c>
      <c r="E9052" s="10" t="str">
        <f>"644020240518105522186709"</f>
        <v>644020240518105522186709</v>
      </c>
      <c r="F9052" s="9"/>
    </row>
    <row r="9053" s="2" customFormat="1" ht="30" customHeight="1" spans="1:6">
      <c r="A9053" s="9">
        <v>9050</v>
      </c>
      <c r="B9053" s="10" t="s">
        <v>8339</v>
      </c>
      <c r="C9053" s="10" t="s">
        <v>8340</v>
      </c>
      <c r="D9053" s="10" t="s">
        <v>8628</v>
      </c>
      <c r="E9053" s="10" t="str">
        <f>"644020240513202205176798"</f>
        <v>644020240513202205176798</v>
      </c>
      <c r="F9053" s="9"/>
    </row>
    <row r="9054" s="2" customFormat="1" ht="30" customHeight="1" spans="1:6">
      <c r="A9054" s="9">
        <v>9051</v>
      </c>
      <c r="B9054" s="10" t="s">
        <v>8339</v>
      </c>
      <c r="C9054" s="10" t="s">
        <v>8340</v>
      </c>
      <c r="D9054" s="10" t="s">
        <v>8629</v>
      </c>
      <c r="E9054" s="10" t="str">
        <f>"644020240517170820185716"</f>
        <v>644020240517170820185716</v>
      </c>
      <c r="F9054" s="9"/>
    </row>
    <row r="9055" s="2" customFormat="1" ht="30" customHeight="1" spans="1:6">
      <c r="A9055" s="9">
        <v>9052</v>
      </c>
      <c r="B9055" s="10" t="s">
        <v>8339</v>
      </c>
      <c r="C9055" s="10" t="s">
        <v>8340</v>
      </c>
      <c r="D9055" s="10" t="s">
        <v>8630</v>
      </c>
      <c r="E9055" s="10" t="str">
        <f>"644020240518111947186745"</f>
        <v>644020240518111947186745</v>
      </c>
      <c r="F9055" s="9"/>
    </row>
    <row r="9056" s="2" customFormat="1" ht="30" customHeight="1" spans="1:6">
      <c r="A9056" s="9">
        <v>9053</v>
      </c>
      <c r="B9056" s="10" t="s">
        <v>8339</v>
      </c>
      <c r="C9056" s="10" t="s">
        <v>8340</v>
      </c>
      <c r="D9056" s="10" t="s">
        <v>8631</v>
      </c>
      <c r="E9056" s="10" t="str">
        <f>"644020240518105138186704"</f>
        <v>644020240518105138186704</v>
      </c>
      <c r="F9056" s="9"/>
    </row>
    <row r="9057" s="2" customFormat="1" ht="30" customHeight="1" spans="1:6">
      <c r="A9057" s="9">
        <v>9054</v>
      </c>
      <c r="B9057" s="10" t="s">
        <v>8339</v>
      </c>
      <c r="C9057" s="10" t="s">
        <v>8340</v>
      </c>
      <c r="D9057" s="10" t="s">
        <v>8632</v>
      </c>
      <c r="E9057" s="10" t="str">
        <f>"644020240518114653186791"</f>
        <v>644020240518114653186791</v>
      </c>
      <c r="F9057" s="9"/>
    </row>
    <row r="9058" s="2" customFormat="1" ht="30" customHeight="1" spans="1:6">
      <c r="A9058" s="9">
        <v>9055</v>
      </c>
      <c r="B9058" s="10" t="s">
        <v>8633</v>
      </c>
      <c r="C9058" s="10" t="s">
        <v>8634</v>
      </c>
      <c r="D9058" s="10" t="s">
        <v>8635</v>
      </c>
      <c r="E9058" s="10" t="str">
        <f>"644020240512090656168123"</f>
        <v>644020240512090656168123</v>
      </c>
      <c r="F9058" s="9"/>
    </row>
    <row r="9059" s="2" customFormat="1" ht="30" customHeight="1" spans="1:6">
      <c r="A9059" s="9">
        <v>9056</v>
      </c>
      <c r="B9059" s="10" t="s">
        <v>8633</v>
      </c>
      <c r="C9059" s="10" t="s">
        <v>8634</v>
      </c>
      <c r="D9059" s="10" t="s">
        <v>8636</v>
      </c>
      <c r="E9059" s="10" t="str">
        <f>"644020240512100451168412"</f>
        <v>644020240512100451168412</v>
      </c>
      <c r="F9059" s="9"/>
    </row>
    <row r="9060" s="2" customFormat="1" ht="30" customHeight="1" spans="1:6">
      <c r="A9060" s="9">
        <v>9057</v>
      </c>
      <c r="B9060" s="10" t="s">
        <v>8633</v>
      </c>
      <c r="C9060" s="10" t="s">
        <v>8634</v>
      </c>
      <c r="D9060" s="10" t="s">
        <v>8637</v>
      </c>
      <c r="E9060" s="10" t="str">
        <f>"644020240512102537168539"</f>
        <v>644020240512102537168539</v>
      </c>
      <c r="F9060" s="9"/>
    </row>
    <row r="9061" s="2" customFormat="1" ht="30" customHeight="1" spans="1:6">
      <c r="A9061" s="9">
        <v>9058</v>
      </c>
      <c r="B9061" s="10" t="s">
        <v>8633</v>
      </c>
      <c r="C9061" s="10" t="s">
        <v>8634</v>
      </c>
      <c r="D9061" s="10" t="s">
        <v>8638</v>
      </c>
      <c r="E9061" s="10" t="str">
        <f>"644020240512102759168547"</f>
        <v>644020240512102759168547</v>
      </c>
      <c r="F9061" s="9"/>
    </row>
    <row r="9062" s="2" customFormat="1" ht="30" customHeight="1" spans="1:6">
      <c r="A9062" s="9">
        <v>9059</v>
      </c>
      <c r="B9062" s="10" t="s">
        <v>8633</v>
      </c>
      <c r="C9062" s="10" t="s">
        <v>8634</v>
      </c>
      <c r="D9062" s="10" t="s">
        <v>8639</v>
      </c>
      <c r="E9062" s="10" t="str">
        <f>"644020240512105132168679"</f>
        <v>644020240512105132168679</v>
      </c>
      <c r="F9062" s="9"/>
    </row>
    <row r="9063" s="2" customFormat="1" ht="30" customHeight="1" spans="1:6">
      <c r="A9063" s="9">
        <v>9060</v>
      </c>
      <c r="B9063" s="10" t="s">
        <v>8633</v>
      </c>
      <c r="C9063" s="10" t="s">
        <v>8634</v>
      </c>
      <c r="D9063" s="10" t="s">
        <v>8640</v>
      </c>
      <c r="E9063" s="10" t="str">
        <f>"644020240512110051168726"</f>
        <v>644020240512110051168726</v>
      </c>
      <c r="F9063" s="9"/>
    </row>
    <row r="9064" s="2" customFormat="1" ht="30" customHeight="1" spans="1:6">
      <c r="A9064" s="9">
        <v>9061</v>
      </c>
      <c r="B9064" s="10" t="s">
        <v>8633</v>
      </c>
      <c r="C9064" s="10" t="s">
        <v>8634</v>
      </c>
      <c r="D9064" s="10" t="s">
        <v>8641</v>
      </c>
      <c r="E9064" s="10" t="str">
        <f>"644020240512121304169061"</f>
        <v>644020240512121304169061</v>
      </c>
      <c r="F9064" s="9"/>
    </row>
    <row r="9065" s="2" customFormat="1" ht="30" customHeight="1" spans="1:6">
      <c r="A9065" s="9">
        <v>9062</v>
      </c>
      <c r="B9065" s="10" t="s">
        <v>8633</v>
      </c>
      <c r="C9065" s="10" t="s">
        <v>8634</v>
      </c>
      <c r="D9065" s="10" t="s">
        <v>8642</v>
      </c>
      <c r="E9065" s="10" t="str">
        <f>"644020240512130329169248"</f>
        <v>644020240512130329169248</v>
      </c>
      <c r="F9065" s="9"/>
    </row>
    <row r="9066" s="2" customFormat="1" ht="30" customHeight="1" spans="1:6">
      <c r="A9066" s="9">
        <v>9063</v>
      </c>
      <c r="B9066" s="10" t="s">
        <v>8633</v>
      </c>
      <c r="C9066" s="10" t="s">
        <v>8634</v>
      </c>
      <c r="D9066" s="10" t="s">
        <v>8643</v>
      </c>
      <c r="E9066" s="10" t="str">
        <f>"644020240512131202169288"</f>
        <v>644020240512131202169288</v>
      </c>
      <c r="F9066" s="9"/>
    </row>
    <row r="9067" s="2" customFormat="1" ht="30" customHeight="1" spans="1:6">
      <c r="A9067" s="9">
        <v>9064</v>
      </c>
      <c r="B9067" s="10" t="s">
        <v>8633</v>
      </c>
      <c r="C9067" s="10" t="s">
        <v>8634</v>
      </c>
      <c r="D9067" s="10" t="s">
        <v>8644</v>
      </c>
      <c r="E9067" s="10" t="str">
        <f>"644020240512131137169286"</f>
        <v>644020240512131137169286</v>
      </c>
      <c r="F9067" s="9"/>
    </row>
    <row r="9068" s="2" customFormat="1" ht="30" customHeight="1" spans="1:6">
      <c r="A9068" s="9">
        <v>9065</v>
      </c>
      <c r="B9068" s="10" t="s">
        <v>8633</v>
      </c>
      <c r="C9068" s="10" t="s">
        <v>8634</v>
      </c>
      <c r="D9068" s="10" t="s">
        <v>8645</v>
      </c>
      <c r="E9068" s="10" t="str">
        <f>"644020240512140651169475"</f>
        <v>644020240512140651169475</v>
      </c>
      <c r="F9068" s="9"/>
    </row>
    <row r="9069" s="2" customFormat="1" ht="30" customHeight="1" spans="1:6">
      <c r="A9069" s="9">
        <v>9066</v>
      </c>
      <c r="B9069" s="10" t="s">
        <v>8633</v>
      </c>
      <c r="C9069" s="10" t="s">
        <v>8634</v>
      </c>
      <c r="D9069" s="10" t="s">
        <v>8646</v>
      </c>
      <c r="E9069" s="10" t="str">
        <f>"644020240512144424169585"</f>
        <v>644020240512144424169585</v>
      </c>
      <c r="F9069" s="9"/>
    </row>
    <row r="9070" s="2" customFormat="1" ht="30" customHeight="1" spans="1:6">
      <c r="A9070" s="9">
        <v>9067</v>
      </c>
      <c r="B9070" s="10" t="s">
        <v>8633</v>
      </c>
      <c r="C9070" s="10" t="s">
        <v>8634</v>
      </c>
      <c r="D9070" s="10" t="s">
        <v>8647</v>
      </c>
      <c r="E9070" s="10" t="str">
        <f>"644020240512111357168794"</f>
        <v>644020240512111357168794</v>
      </c>
      <c r="F9070" s="9"/>
    </row>
    <row r="9071" s="2" customFormat="1" ht="30" customHeight="1" spans="1:6">
      <c r="A9071" s="9">
        <v>9068</v>
      </c>
      <c r="B9071" s="10" t="s">
        <v>8633</v>
      </c>
      <c r="C9071" s="10" t="s">
        <v>8634</v>
      </c>
      <c r="D9071" s="10" t="s">
        <v>8648</v>
      </c>
      <c r="E9071" s="10" t="str">
        <f>"644020240512104921168668"</f>
        <v>644020240512104921168668</v>
      </c>
      <c r="F9071" s="9"/>
    </row>
    <row r="9072" s="2" customFormat="1" ht="30" customHeight="1" spans="1:6">
      <c r="A9072" s="9">
        <v>9069</v>
      </c>
      <c r="B9072" s="10" t="s">
        <v>8633</v>
      </c>
      <c r="C9072" s="10" t="s">
        <v>8634</v>
      </c>
      <c r="D9072" s="10" t="s">
        <v>8649</v>
      </c>
      <c r="E9072" s="10" t="str">
        <f>"644020240512152712169750"</f>
        <v>644020240512152712169750</v>
      </c>
      <c r="F9072" s="9"/>
    </row>
    <row r="9073" s="2" customFormat="1" ht="30" customHeight="1" spans="1:6">
      <c r="A9073" s="9">
        <v>9070</v>
      </c>
      <c r="B9073" s="10" t="s">
        <v>8633</v>
      </c>
      <c r="C9073" s="10" t="s">
        <v>8634</v>
      </c>
      <c r="D9073" s="10" t="s">
        <v>8650</v>
      </c>
      <c r="E9073" s="10" t="str">
        <f>"644020240512093450168264"</f>
        <v>644020240512093450168264</v>
      </c>
      <c r="F9073" s="9"/>
    </row>
    <row r="9074" s="2" customFormat="1" ht="30" customHeight="1" spans="1:6">
      <c r="A9074" s="9">
        <v>9071</v>
      </c>
      <c r="B9074" s="10" t="s">
        <v>8633</v>
      </c>
      <c r="C9074" s="10" t="s">
        <v>8634</v>
      </c>
      <c r="D9074" s="10" t="s">
        <v>8651</v>
      </c>
      <c r="E9074" s="10" t="str">
        <f>"644020240512180044170315"</f>
        <v>644020240512180044170315</v>
      </c>
      <c r="F9074" s="9"/>
    </row>
    <row r="9075" s="2" customFormat="1" ht="30" customHeight="1" spans="1:6">
      <c r="A9075" s="9">
        <v>9072</v>
      </c>
      <c r="B9075" s="10" t="s">
        <v>8633</v>
      </c>
      <c r="C9075" s="10" t="s">
        <v>8634</v>
      </c>
      <c r="D9075" s="10" t="s">
        <v>8652</v>
      </c>
      <c r="E9075" s="10" t="str">
        <f>"644020240512180954170339"</f>
        <v>644020240512180954170339</v>
      </c>
      <c r="F9075" s="9"/>
    </row>
    <row r="9076" s="2" customFormat="1" ht="30" customHeight="1" spans="1:6">
      <c r="A9076" s="9">
        <v>9073</v>
      </c>
      <c r="B9076" s="10" t="s">
        <v>8633</v>
      </c>
      <c r="C9076" s="10" t="s">
        <v>8634</v>
      </c>
      <c r="D9076" s="10" t="s">
        <v>8653</v>
      </c>
      <c r="E9076" s="10" t="str">
        <f>"644020240512182556170382"</f>
        <v>644020240512182556170382</v>
      </c>
      <c r="F9076" s="9"/>
    </row>
    <row r="9077" s="2" customFormat="1" ht="30" customHeight="1" spans="1:6">
      <c r="A9077" s="9">
        <v>9074</v>
      </c>
      <c r="B9077" s="10" t="s">
        <v>8633</v>
      </c>
      <c r="C9077" s="10" t="s">
        <v>8634</v>
      </c>
      <c r="D9077" s="10" t="s">
        <v>8654</v>
      </c>
      <c r="E9077" s="10" t="str">
        <f>"644020240512183543170418"</f>
        <v>644020240512183543170418</v>
      </c>
      <c r="F9077" s="9"/>
    </row>
    <row r="9078" s="2" customFormat="1" ht="30" customHeight="1" spans="1:6">
      <c r="A9078" s="9">
        <v>9075</v>
      </c>
      <c r="B9078" s="10" t="s">
        <v>8633</v>
      </c>
      <c r="C9078" s="10" t="s">
        <v>8634</v>
      </c>
      <c r="D9078" s="10" t="s">
        <v>8655</v>
      </c>
      <c r="E9078" s="10" t="str">
        <f>"644020240512205633170970"</f>
        <v>644020240512205633170970</v>
      </c>
      <c r="F9078" s="9"/>
    </row>
    <row r="9079" s="2" customFormat="1" ht="30" customHeight="1" spans="1:6">
      <c r="A9079" s="9">
        <v>9076</v>
      </c>
      <c r="B9079" s="10" t="s">
        <v>8633</v>
      </c>
      <c r="C9079" s="10" t="s">
        <v>8634</v>
      </c>
      <c r="D9079" s="10" t="s">
        <v>8656</v>
      </c>
      <c r="E9079" s="10" t="str">
        <f>"644020240512161444169935"</f>
        <v>644020240512161444169935</v>
      </c>
      <c r="F9079" s="9"/>
    </row>
    <row r="9080" s="2" customFormat="1" ht="30" customHeight="1" spans="1:6">
      <c r="A9080" s="9">
        <v>9077</v>
      </c>
      <c r="B9080" s="10" t="s">
        <v>8633</v>
      </c>
      <c r="C9080" s="10" t="s">
        <v>8634</v>
      </c>
      <c r="D9080" s="10" t="s">
        <v>8657</v>
      </c>
      <c r="E9080" s="10" t="str">
        <f>"644020240512161706169948"</f>
        <v>644020240512161706169948</v>
      </c>
      <c r="F9080" s="9"/>
    </row>
    <row r="9081" s="2" customFormat="1" ht="30" customHeight="1" spans="1:6">
      <c r="A9081" s="9">
        <v>9078</v>
      </c>
      <c r="B9081" s="10" t="s">
        <v>8633</v>
      </c>
      <c r="C9081" s="10" t="s">
        <v>8634</v>
      </c>
      <c r="D9081" s="10" t="s">
        <v>8658</v>
      </c>
      <c r="E9081" s="10" t="str">
        <f>"644020240512093030168247"</f>
        <v>644020240512093030168247</v>
      </c>
      <c r="F9081" s="9"/>
    </row>
    <row r="9082" s="2" customFormat="1" ht="30" customHeight="1" spans="1:6">
      <c r="A9082" s="9">
        <v>9079</v>
      </c>
      <c r="B9082" s="10" t="s">
        <v>8633</v>
      </c>
      <c r="C9082" s="10" t="s">
        <v>8634</v>
      </c>
      <c r="D9082" s="10" t="s">
        <v>8659</v>
      </c>
      <c r="E9082" s="10" t="str">
        <f>"644020240512213730171184"</f>
        <v>644020240512213730171184</v>
      </c>
      <c r="F9082" s="9"/>
    </row>
    <row r="9083" s="2" customFormat="1" ht="30" customHeight="1" spans="1:6">
      <c r="A9083" s="9">
        <v>9080</v>
      </c>
      <c r="B9083" s="10" t="s">
        <v>8633</v>
      </c>
      <c r="C9083" s="10" t="s">
        <v>8634</v>
      </c>
      <c r="D9083" s="10" t="s">
        <v>8660</v>
      </c>
      <c r="E9083" s="10" t="str">
        <f>"644020240512224625171590"</f>
        <v>644020240512224625171590</v>
      </c>
      <c r="F9083" s="9"/>
    </row>
    <row r="9084" s="2" customFormat="1" ht="30" customHeight="1" spans="1:6">
      <c r="A9084" s="9">
        <v>9081</v>
      </c>
      <c r="B9084" s="10" t="s">
        <v>8633</v>
      </c>
      <c r="C9084" s="10" t="s">
        <v>8634</v>
      </c>
      <c r="D9084" s="10" t="s">
        <v>8661</v>
      </c>
      <c r="E9084" s="10" t="str">
        <f>"644020240512204635170918"</f>
        <v>644020240512204635170918</v>
      </c>
      <c r="F9084" s="9"/>
    </row>
    <row r="9085" s="2" customFormat="1" ht="30" customHeight="1" spans="1:6">
      <c r="A9085" s="9">
        <v>9082</v>
      </c>
      <c r="B9085" s="10" t="s">
        <v>8633</v>
      </c>
      <c r="C9085" s="10" t="s">
        <v>8634</v>
      </c>
      <c r="D9085" s="10" t="s">
        <v>8662</v>
      </c>
      <c r="E9085" s="10" t="str">
        <f>"644020240512225840171664"</f>
        <v>644020240512225840171664</v>
      </c>
      <c r="F9085" s="9"/>
    </row>
    <row r="9086" s="2" customFormat="1" ht="30" customHeight="1" spans="1:6">
      <c r="A9086" s="9">
        <v>9083</v>
      </c>
      <c r="B9086" s="10" t="s">
        <v>8633</v>
      </c>
      <c r="C9086" s="10" t="s">
        <v>8634</v>
      </c>
      <c r="D9086" s="10" t="s">
        <v>8663</v>
      </c>
      <c r="E9086" s="10" t="str">
        <f>"644020240512155215169851"</f>
        <v>644020240512155215169851</v>
      </c>
      <c r="F9086" s="9"/>
    </row>
    <row r="9087" s="2" customFormat="1" ht="30" customHeight="1" spans="1:6">
      <c r="A9087" s="9">
        <v>9084</v>
      </c>
      <c r="B9087" s="10" t="s">
        <v>8633</v>
      </c>
      <c r="C9087" s="10" t="s">
        <v>8634</v>
      </c>
      <c r="D9087" s="10" t="s">
        <v>8664</v>
      </c>
      <c r="E9087" s="10" t="str">
        <f>"644020240513080627172203"</f>
        <v>644020240513080627172203</v>
      </c>
      <c r="F9087" s="9"/>
    </row>
    <row r="9088" s="2" customFormat="1" ht="30" customHeight="1" spans="1:6">
      <c r="A9088" s="9">
        <v>9085</v>
      </c>
      <c r="B9088" s="10" t="s">
        <v>8633</v>
      </c>
      <c r="C9088" s="10" t="s">
        <v>8634</v>
      </c>
      <c r="D9088" s="10" t="s">
        <v>8665</v>
      </c>
      <c r="E9088" s="10" t="str">
        <f>"644020240513093253172835"</f>
        <v>644020240513093253172835</v>
      </c>
      <c r="F9088" s="9"/>
    </row>
    <row r="9089" s="2" customFormat="1" ht="30" customHeight="1" spans="1:6">
      <c r="A9089" s="9">
        <v>9086</v>
      </c>
      <c r="B9089" s="10" t="s">
        <v>8633</v>
      </c>
      <c r="C9089" s="10" t="s">
        <v>8634</v>
      </c>
      <c r="D9089" s="10" t="s">
        <v>8666</v>
      </c>
      <c r="E9089" s="10" t="str">
        <f>"644020240513081209172219"</f>
        <v>644020240513081209172219</v>
      </c>
      <c r="F9089" s="9"/>
    </row>
    <row r="9090" s="2" customFormat="1" ht="30" customHeight="1" spans="1:6">
      <c r="A9090" s="9">
        <v>9087</v>
      </c>
      <c r="B9090" s="10" t="s">
        <v>8633</v>
      </c>
      <c r="C9090" s="10" t="s">
        <v>8634</v>
      </c>
      <c r="D9090" s="10" t="s">
        <v>8667</v>
      </c>
      <c r="E9090" s="10" t="str">
        <f>"644020240513101956173309"</f>
        <v>644020240513101956173309</v>
      </c>
      <c r="F9090" s="9"/>
    </row>
    <row r="9091" s="2" customFormat="1" ht="30" customHeight="1" spans="1:6">
      <c r="A9091" s="9">
        <v>9088</v>
      </c>
      <c r="B9091" s="10" t="s">
        <v>8633</v>
      </c>
      <c r="C9091" s="10" t="s">
        <v>8634</v>
      </c>
      <c r="D9091" s="10" t="s">
        <v>8668</v>
      </c>
      <c r="E9091" s="10" t="str">
        <f>"644020240513103027173423"</f>
        <v>644020240513103027173423</v>
      </c>
      <c r="F9091" s="9"/>
    </row>
    <row r="9092" s="2" customFormat="1" ht="30" customHeight="1" spans="1:6">
      <c r="A9092" s="9">
        <v>9089</v>
      </c>
      <c r="B9092" s="10" t="s">
        <v>8633</v>
      </c>
      <c r="C9092" s="10" t="s">
        <v>8634</v>
      </c>
      <c r="D9092" s="10" t="s">
        <v>4845</v>
      </c>
      <c r="E9092" s="10" t="str">
        <f>"644020240513095759173096"</f>
        <v>644020240513095759173096</v>
      </c>
      <c r="F9092" s="9"/>
    </row>
    <row r="9093" s="2" customFormat="1" ht="30" customHeight="1" spans="1:6">
      <c r="A9093" s="9">
        <v>9090</v>
      </c>
      <c r="B9093" s="10" t="s">
        <v>8633</v>
      </c>
      <c r="C9093" s="10" t="s">
        <v>8634</v>
      </c>
      <c r="D9093" s="10" t="s">
        <v>8669</v>
      </c>
      <c r="E9093" s="10" t="str">
        <f>"644020240513104438173548"</f>
        <v>644020240513104438173548</v>
      </c>
      <c r="F9093" s="9"/>
    </row>
    <row r="9094" s="2" customFormat="1" ht="30" customHeight="1" spans="1:6">
      <c r="A9094" s="9">
        <v>9091</v>
      </c>
      <c r="B9094" s="10" t="s">
        <v>8633</v>
      </c>
      <c r="C9094" s="10" t="s">
        <v>8634</v>
      </c>
      <c r="D9094" s="10" t="s">
        <v>8670</v>
      </c>
      <c r="E9094" s="10" t="str">
        <f>"644020240513103945173502"</f>
        <v>644020240513103945173502</v>
      </c>
      <c r="F9094" s="9"/>
    </row>
    <row r="9095" s="2" customFormat="1" ht="30" customHeight="1" spans="1:6">
      <c r="A9095" s="9">
        <v>9092</v>
      </c>
      <c r="B9095" s="10" t="s">
        <v>8633</v>
      </c>
      <c r="C9095" s="10" t="s">
        <v>8634</v>
      </c>
      <c r="D9095" s="10" t="s">
        <v>8671</v>
      </c>
      <c r="E9095" s="10" t="str">
        <f>"644020240513102614173372"</f>
        <v>644020240513102614173372</v>
      </c>
      <c r="F9095" s="9"/>
    </row>
    <row r="9096" s="2" customFormat="1" ht="30" customHeight="1" spans="1:6">
      <c r="A9096" s="9">
        <v>9093</v>
      </c>
      <c r="B9096" s="10" t="s">
        <v>8633</v>
      </c>
      <c r="C9096" s="10" t="s">
        <v>8634</v>
      </c>
      <c r="D9096" s="10" t="s">
        <v>8672</v>
      </c>
      <c r="E9096" s="10" t="str">
        <f>"644020240513111746173861"</f>
        <v>644020240513111746173861</v>
      </c>
      <c r="F9096" s="9"/>
    </row>
    <row r="9097" s="2" customFormat="1" ht="30" customHeight="1" spans="1:6">
      <c r="A9097" s="9">
        <v>9094</v>
      </c>
      <c r="B9097" s="10" t="s">
        <v>8633</v>
      </c>
      <c r="C9097" s="10" t="s">
        <v>8634</v>
      </c>
      <c r="D9097" s="10" t="s">
        <v>8673</v>
      </c>
      <c r="E9097" s="10" t="str">
        <f>"644020240513125808174505"</f>
        <v>644020240513125808174505</v>
      </c>
      <c r="F9097" s="9"/>
    </row>
    <row r="9098" s="2" customFormat="1" ht="30" customHeight="1" spans="1:6">
      <c r="A9098" s="9">
        <v>9095</v>
      </c>
      <c r="B9098" s="10" t="s">
        <v>8633</v>
      </c>
      <c r="C9098" s="10" t="s">
        <v>8634</v>
      </c>
      <c r="D9098" s="10" t="s">
        <v>8674</v>
      </c>
      <c r="E9098" s="10" t="str">
        <f>"644020240513133022174661"</f>
        <v>644020240513133022174661</v>
      </c>
      <c r="F9098" s="9"/>
    </row>
    <row r="9099" s="2" customFormat="1" ht="30" customHeight="1" spans="1:6">
      <c r="A9099" s="9">
        <v>9096</v>
      </c>
      <c r="B9099" s="10" t="s">
        <v>8633</v>
      </c>
      <c r="C9099" s="10" t="s">
        <v>8634</v>
      </c>
      <c r="D9099" s="10" t="s">
        <v>8675</v>
      </c>
      <c r="E9099" s="10" t="str">
        <f>"644020240513134231174721"</f>
        <v>644020240513134231174721</v>
      </c>
      <c r="F9099" s="9"/>
    </row>
    <row r="9100" s="2" customFormat="1" ht="30" customHeight="1" spans="1:6">
      <c r="A9100" s="9">
        <v>9097</v>
      </c>
      <c r="B9100" s="10" t="s">
        <v>8633</v>
      </c>
      <c r="C9100" s="10" t="s">
        <v>8634</v>
      </c>
      <c r="D9100" s="10" t="s">
        <v>4537</v>
      </c>
      <c r="E9100" s="10" t="str">
        <f>"644020240512090554168116"</f>
        <v>644020240512090554168116</v>
      </c>
      <c r="F9100" s="9"/>
    </row>
    <row r="9101" s="2" customFormat="1" ht="30" customHeight="1" spans="1:6">
      <c r="A9101" s="9">
        <v>9098</v>
      </c>
      <c r="B9101" s="10" t="s">
        <v>8633</v>
      </c>
      <c r="C9101" s="10" t="s">
        <v>8634</v>
      </c>
      <c r="D9101" s="10" t="s">
        <v>8676</v>
      </c>
      <c r="E9101" s="10" t="str">
        <f>"644020240513145527175147"</f>
        <v>644020240513145527175147</v>
      </c>
      <c r="F9101" s="9"/>
    </row>
    <row r="9102" s="2" customFormat="1" ht="30" customHeight="1" spans="1:6">
      <c r="A9102" s="9">
        <v>9099</v>
      </c>
      <c r="B9102" s="10" t="s">
        <v>8633</v>
      </c>
      <c r="C9102" s="10" t="s">
        <v>8634</v>
      </c>
      <c r="D9102" s="10" t="s">
        <v>8677</v>
      </c>
      <c r="E9102" s="10" t="str">
        <f>"644020240513144228175052"</f>
        <v>644020240513144228175052</v>
      </c>
      <c r="F9102" s="9"/>
    </row>
    <row r="9103" s="2" customFormat="1" ht="30" customHeight="1" spans="1:6">
      <c r="A9103" s="9">
        <v>9100</v>
      </c>
      <c r="B9103" s="10" t="s">
        <v>8633</v>
      </c>
      <c r="C9103" s="10" t="s">
        <v>8634</v>
      </c>
      <c r="D9103" s="10" t="s">
        <v>8678</v>
      </c>
      <c r="E9103" s="10" t="str">
        <f>"644020240513095034173021"</f>
        <v>644020240513095034173021</v>
      </c>
      <c r="F9103" s="9"/>
    </row>
    <row r="9104" s="2" customFormat="1" ht="30" customHeight="1" spans="1:6">
      <c r="A9104" s="9">
        <v>9101</v>
      </c>
      <c r="B9104" s="10" t="s">
        <v>8633</v>
      </c>
      <c r="C9104" s="10" t="s">
        <v>8634</v>
      </c>
      <c r="D9104" s="10" t="s">
        <v>8679</v>
      </c>
      <c r="E9104" s="10" t="str">
        <f>"644020240513104543173562"</f>
        <v>644020240513104543173562</v>
      </c>
      <c r="F9104" s="9"/>
    </row>
    <row r="9105" s="2" customFormat="1" ht="30" customHeight="1" spans="1:6">
      <c r="A9105" s="9">
        <v>9102</v>
      </c>
      <c r="B9105" s="10" t="s">
        <v>8633</v>
      </c>
      <c r="C9105" s="10" t="s">
        <v>8634</v>
      </c>
      <c r="D9105" s="10" t="s">
        <v>8680</v>
      </c>
      <c r="E9105" s="10" t="str">
        <f>"644020240513153902175555"</f>
        <v>644020240513153902175555</v>
      </c>
      <c r="F9105" s="9"/>
    </row>
    <row r="9106" s="2" customFormat="1" ht="30" customHeight="1" spans="1:6">
      <c r="A9106" s="9">
        <v>9103</v>
      </c>
      <c r="B9106" s="10" t="s">
        <v>8633</v>
      </c>
      <c r="C9106" s="10" t="s">
        <v>8634</v>
      </c>
      <c r="D9106" s="10" t="s">
        <v>8681</v>
      </c>
      <c r="E9106" s="10" t="str">
        <f>"644020240513153814175547"</f>
        <v>644020240513153814175547</v>
      </c>
      <c r="F9106" s="9"/>
    </row>
    <row r="9107" s="2" customFormat="1" ht="30" customHeight="1" spans="1:6">
      <c r="A9107" s="9">
        <v>9104</v>
      </c>
      <c r="B9107" s="10" t="s">
        <v>8633</v>
      </c>
      <c r="C9107" s="10" t="s">
        <v>8634</v>
      </c>
      <c r="D9107" s="10" t="s">
        <v>8682</v>
      </c>
      <c r="E9107" s="10" t="str">
        <f>"644020240513163815175983"</f>
        <v>644020240513163815175983</v>
      </c>
      <c r="F9107" s="9"/>
    </row>
    <row r="9108" s="2" customFormat="1" ht="30" customHeight="1" spans="1:6">
      <c r="A9108" s="9">
        <v>9105</v>
      </c>
      <c r="B9108" s="10" t="s">
        <v>8633</v>
      </c>
      <c r="C9108" s="10" t="s">
        <v>8634</v>
      </c>
      <c r="D9108" s="10" t="s">
        <v>8683</v>
      </c>
      <c r="E9108" s="10" t="str">
        <f>"644020240513163137175949"</f>
        <v>644020240513163137175949</v>
      </c>
      <c r="F9108" s="9"/>
    </row>
    <row r="9109" s="2" customFormat="1" ht="30" customHeight="1" spans="1:6">
      <c r="A9109" s="9">
        <v>9106</v>
      </c>
      <c r="B9109" s="10" t="s">
        <v>8633</v>
      </c>
      <c r="C9109" s="10" t="s">
        <v>8634</v>
      </c>
      <c r="D9109" s="10" t="s">
        <v>8684</v>
      </c>
      <c r="E9109" s="10" t="str">
        <f>"644020240513075124172178"</f>
        <v>644020240513075124172178</v>
      </c>
      <c r="F9109" s="9"/>
    </row>
    <row r="9110" s="2" customFormat="1" ht="30" customHeight="1" spans="1:6">
      <c r="A9110" s="9">
        <v>9107</v>
      </c>
      <c r="B9110" s="10" t="s">
        <v>8633</v>
      </c>
      <c r="C9110" s="10" t="s">
        <v>8634</v>
      </c>
      <c r="D9110" s="10" t="s">
        <v>8685</v>
      </c>
      <c r="E9110" s="10" t="str">
        <f>"644020240513165509176070"</f>
        <v>644020240513165509176070</v>
      </c>
      <c r="F9110" s="9"/>
    </row>
    <row r="9111" s="2" customFormat="1" ht="30" customHeight="1" spans="1:6">
      <c r="A9111" s="9">
        <v>9108</v>
      </c>
      <c r="B9111" s="10" t="s">
        <v>8633</v>
      </c>
      <c r="C9111" s="10" t="s">
        <v>8634</v>
      </c>
      <c r="D9111" s="10" t="s">
        <v>8686</v>
      </c>
      <c r="E9111" s="10" t="str">
        <f>"644020240513154731175647"</f>
        <v>644020240513154731175647</v>
      </c>
      <c r="F9111" s="9"/>
    </row>
    <row r="9112" s="2" customFormat="1" ht="30" customHeight="1" spans="1:6">
      <c r="A9112" s="9">
        <v>9109</v>
      </c>
      <c r="B9112" s="10" t="s">
        <v>8633</v>
      </c>
      <c r="C9112" s="10" t="s">
        <v>8634</v>
      </c>
      <c r="D9112" s="10" t="s">
        <v>8687</v>
      </c>
      <c r="E9112" s="10" t="str">
        <f>"644020240512155416169858"</f>
        <v>644020240512155416169858</v>
      </c>
      <c r="F9112" s="9"/>
    </row>
    <row r="9113" s="2" customFormat="1" ht="30" customHeight="1" spans="1:6">
      <c r="A9113" s="9">
        <v>9110</v>
      </c>
      <c r="B9113" s="10" t="s">
        <v>8633</v>
      </c>
      <c r="C9113" s="10" t="s">
        <v>8634</v>
      </c>
      <c r="D9113" s="10" t="s">
        <v>8688</v>
      </c>
      <c r="E9113" s="10" t="str">
        <f>"644020240513182248176405"</f>
        <v>644020240513182248176405</v>
      </c>
      <c r="F9113" s="9"/>
    </row>
    <row r="9114" s="2" customFormat="1" ht="30" customHeight="1" spans="1:6">
      <c r="A9114" s="9">
        <v>9111</v>
      </c>
      <c r="B9114" s="10" t="s">
        <v>8633</v>
      </c>
      <c r="C9114" s="10" t="s">
        <v>8634</v>
      </c>
      <c r="D9114" s="10" t="s">
        <v>8689</v>
      </c>
      <c r="E9114" s="10" t="str">
        <f>"644020240513183532176440"</f>
        <v>644020240513183532176440</v>
      </c>
      <c r="F9114" s="9"/>
    </row>
    <row r="9115" s="2" customFormat="1" ht="30" customHeight="1" spans="1:6">
      <c r="A9115" s="9">
        <v>9112</v>
      </c>
      <c r="B9115" s="10" t="s">
        <v>8633</v>
      </c>
      <c r="C9115" s="10" t="s">
        <v>8634</v>
      </c>
      <c r="D9115" s="10" t="s">
        <v>8690</v>
      </c>
      <c r="E9115" s="10" t="str">
        <f>"644020240513161519175872"</f>
        <v>644020240513161519175872</v>
      </c>
      <c r="F9115" s="9"/>
    </row>
    <row r="9116" s="2" customFormat="1" ht="30" customHeight="1" spans="1:6">
      <c r="A9116" s="9">
        <v>9113</v>
      </c>
      <c r="B9116" s="10" t="s">
        <v>8633</v>
      </c>
      <c r="C9116" s="10" t="s">
        <v>8634</v>
      </c>
      <c r="D9116" s="10" t="s">
        <v>8691</v>
      </c>
      <c r="E9116" s="10" t="str">
        <f>"644020240513195858176722"</f>
        <v>644020240513195858176722</v>
      </c>
      <c r="F9116" s="9"/>
    </row>
    <row r="9117" s="2" customFormat="1" ht="30" customHeight="1" spans="1:6">
      <c r="A9117" s="9">
        <v>9114</v>
      </c>
      <c r="B9117" s="10" t="s">
        <v>8633</v>
      </c>
      <c r="C9117" s="10" t="s">
        <v>8634</v>
      </c>
      <c r="D9117" s="10" t="s">
        <v>8692</v>
      </c>
      <c r="E9117" s="10" t="str">
        <f>"644020240513201254176773"</f>
        <v>644020240513201254176773</v>
      </c>
      <c r="F9117" s="9"/>
    </row>
    <row r="9118" s="2" customFormat="1" ht="30" customHeight="1" spans="1:6">
      <c r="A9118" s="9">
        <v>9115</v>
      </c>
      <c r="B9118" s="10" t="s">
        <v>8633</v>
      </c>
      <c r="C9118" s="10" t="s">
        <v>8634</v>
      </c>
      <c r="D9118" s="10" t="s">
        <v>8693</v>
      </c>
      <c r="E9118" s="10" t="str">
        <f>"644020240513193741176647"</f>
        <v>644020240513193741176647</v>
      </c>
      <c r="F9118" s="9"/>
    </row>
    <row r="9119" s="2" customFormat="1" ht="30" customHeight="1" spans="1:6">
      <c r="A9119" s="9">
        <v>9116</v>
      </c>
      <c r="B9119" s="10" t="s">
        <v>8633</v>
      </c>
      <c r="C9119" s="10" t="s">
        <v>8634</v>
      </c>
      <c r="D9119" s="10" t="s">
        <v>8694</v>
      </c>
      <c r="E9119" s="10" t="str">
        <f>"644020240512203608170869"</f>
        <v>644020240512203608170869</v>
      </c>
      <c r="F9119" s="9"/>
    </row>
    <row r="9120" s="2" customFormat="1" ht="30" customHeight="1" spans="1:6">
      <c r="A9120" s="9">
        <v>9117</v>
      </c>
      <c r="B9120" s="10" t="s">
        <v>8633</v>
      </c>
      <c r="C9120" s="10" t="s">
        <v>8634</v>
      </c>
      <c r="D9120" s="10" t="s">
        <v>8695</v>
      </c>
      <c r="E9120" s="10" t="str">
        <f>"644020240513174023176279"</f>
        <v>644020240513174023176279</v>
      </c>
      <c r="F9120" s="9"/>
    </row>
    <row r="9121" s="2" customFormat="1" ht="30" customHeight="1" spans="1:6">
      <c r="A9121" s="9">
        <v>9118</v>
      </c>
      <c r="B9121" s="10" t="s">
        <v>8633</v>
      </c>
      <c r="C9121" s="10" t="s">
        <v>8634</v>
      </c>
      <c r="D9121" s="10" t="s">
        <v>8696</v>
      </c>
      <c r="E9121" s="10" t="str">
        <f>"644020240513204231176892"</f>
        <v>644020240513204231176892</v>
      </c>
      <c r="F9121" s="9"/>
    </row>
    <row r="9122" s="2" customFormat="1" ht="30" customHeight="1" spans="1:6">
      <c r="A9122" s="9">
        <v>9119</v>
      </c>
      <c r="B9122" s="10" t="s">
        <v>8633</v>
      </c>
      <c r="C9122" s="10" t="s">
        <v>8634</v>
      </c>
      <c r="D9122" s="10" t="s">
        <v>8697</v>
      </c>
      <c r="E9122" s="10" t="str">
        <f>"644020240513211555177029"</f>
        <v>644020240513211555177029</v>
      </c>
      <c r="F9122" s="9"/>
    </row>
    <row r="9123" s="2" customFormat="1" ht="30" customHeight="1" spans="1:6">
      <c r="A9123" s="9">
        <v>9120</v>
      </c>
      <c r="B9123" s="10" t="s">
        <v>8633</v>
      </c>
      <c r="C9123" s="10" t="s">
        <v>8634</v>
      </c>
      <c r="D9123" s="10" t="s">
        <v>8698</v>
      </c>
      <c r="E9123" s="10" t="str">
        <f>"644020240513212748177078"</f>
        <v>644020240513212748177078</v>
      </c>
      <c r="F9123" s="9"/>
    </row>
    <row r="9124" s="2" customFormat="1" ht="30" customHeight="1" spans="1:6">
      <c r="A9124" s="9">
        <v>9121</v>
      </c>
      <c r="B9124" s="10" t="s">
        <v>8633</v>
      </c>
      <c r="C9124" s="10" t="s">
        <v>8634</v>
      </c>
      <c r="D9124" s="10" t="s">
        <v>8699</v>
      </c>
      <c r="E9124" s="10" t="str">
        <f>"644020240513214040177124"</f>
        <v>644020240513214040177124</v>
      </c>
      <c r="F9124" s="9"/>
    </row>
    <row r="9125" s="2" customFormat="1" ht="30" customHeight="1" spans="1:6">
      <c r="A9125" s="9">
        <v>9122</v>
      </c>
      <c r="B9125" s="10" t="s">
        <v>8633</v>
      </c>
      <c r="C9125" s="10" t="s">
        <v>8634</v>
      </c>
      <c r="D9125" s="10" t="s">
        <v>8700</v>
      </c>
      <c r="E9125" s="10" t="str">
        <f>"644020240513214059177126"</f>
        <v>644020240513214059177126</v>
      </c>
      <c r="F9125" s="9"/>
    </row>
    <row r="9126" s="2" customFormat="1" ht="30" customHeight="1" spans="1:6">
      <c r="A9126" s="9">
        <v>9123</v>
      </c>
      <c r="B9126" s="10" t="s">
        <v>8633</v>
      </c>
      <c r="C9126" s="10" t="s">
        <v>8634</v>
      </c>
      <c r="D9126" s="10" t="s">
        <v>8701</v>
      </c>
      <c r="E9126" s="10" t="str">
        <f>"644020240512093027168246"</f>
        <v>644020240512093027168246</v>
      </c>
      <c r="F9126" s="9"/>
    </row>
    <row r="9127" s="2" customFormat="1" ht="30" customHeight="1" spans="1:6">
      <c r="A9127" s="9">
        <v>9124</v>
      </c>
      <c r="B9127" s="10" t="s">
        <v>8633</v>
      </c>
      <c r="C9127" s="10" t="s">
        <v>8634</v>
      </c>
      <c r="D9127" s="10" t="s">
        <v>4080</v>
      </c>
      <c r="E9127" s="10" t="str">
        <f>"644020240513215437177194"</f>
        <v>644020240513215437177194</v>
      </c>
      <c r="F9127" s="9"/>
    </row>
    <row r="9128" s="2" customFormat="1" ht="30" customHeight="1" spans="1:6">
      <c r="A9128" s="9">
        <v>9125</v>
      </c>
      <c r="B9128" s="10" t="s">
        <v>8633</v>
      </c>
      <c r="C9128" s="10" t="s">
        <v>8634</v>
      </c>
      <c r="D9128" s="10" t="s">
        <v>4795</v>
      </c>
      <c r="E9128" s="10" t="str">
        <f>"644020240513210308176971"</f>
        <v>644020240513210308176971</v>
      </c>
      <c r="F9128" s="9"/>
    </row>
    <row r="9129" s="2" customFormat="1" ht="30" customHeight="1" spans="1:6">
      <c r="A9129" s="9">
        <v>9126</v>
      </c>
      <c r="B9129" s="10" t="s">
        <v>8633</v>
      </c>
      <c r="C9129" s="10" t="s">
        <v>8634</v>
      </c>
      <c r="D9129" s="10" t="s">
        <v>8702</v>
      </c>
      <c r="E9129" s="10" t="str">
        <f>"644020240512231909171777"</f>
        <v>644020240512231909171777</v>
      </c>
      <c r="F9129" s="9"/>
    </row>
    <row r="9130" s="2" customFormat="1" ht="30" customHeight="1" spans="1:6">
      <c r="A9130" s="9">
        <v>9127</v>
      </c>
      <c r="B9130" s="10" t="s">
        <v>8633</v>
      </c>
      <c r="C9130" s="10" t="s">
        <v>8634</v>
      </c>
      <c r="D9130" s="10" t="s">
        <v>8703</v>
      </c>
      <c r="E9130" s="10" t="str">
        <f>"644020240512113108168887"</f>
        <v>644020240512113108168887</v>
      </c>
      <c r="F9130" s="9"/>
    </row>
    <row r="9131" s="2" customFormat="1" ht="30" customHeight="1" spans="1:6">
      <c r="A9131" s="9">
        <v>9128</v>
      </c>
      <c r="B9131" s="10" t="s">
        <v>8633</v>
      </c>
      <c r="C9131" s="10" t="s">
        <v>8634</v>
      </c>
      <c r="D9131" s="10" t="s">
        <v>8704</v>
      </c>
      <c r="E9131" s="10" t="str">
        <f>"644020240514001419177659"</f>
        <v>644020240514001419177659</v>
      </c>
      <c r="F9131" s="9"/>
    </row>
    <row r="9132" s="2" customFormat="1" ht="30" customHeight="1" spans="1:6">
      <c r="A9132" s="9">
        <v>9129</v>
      </c>
      <c r="B9132" s="10" t="s">
        <v>8633</v>
      </c>
      <c r="C9132" s="10" t="s">
        <v>8634</v>
      </c>
      <c r="D9132" s="10" t="s">
        <v>4024</v>
      </c>
      <c r="E9132" s="10" t="str">
        <f>"644020240514030122177757"</f>
        <v>644020240514030122177757</v>
      </c>
      <c r="F9132" s="9"/>
    </row>
    <row r="9133" s="2" customFormat="1" ht="30" customHeight="1" spans="1:6">
      <c r="A9133" s="9">
        <v>9130</v>
      </c>
      <c r="B9133" s="10" t="s">
        <v>8633</v>
      </c>
      <c r="C9133" s="10" t="s">
        <v>8634</v>
      </c>
      <c r="D9133" s="10" t="s">
        <v>8705</v>
      </c>
      <c r="E9133" s="10" t="str">
        <f>"644020240512141502169500"</f>
        <v>644020240512141502169500</v>
      </c>
      <c r="F9133" s="9"/>
    </row>
    <row r="9134" s="2" customFormat="1" ht="30" customHeight="1" spans="1:6">
      <c r="A9134" s="9">
        <v>9131</v>
      </c>
      <c r="B9134" s="10" t="s">
        <v>8633</v>
      </c>
      <c r="C9134" s="10" t="s">
        <v>8634</v>
      </c>
      <c r="D9134" s="10" t="s">
        <v>8706</v>
      </c>
      <c r="E9134" s="10" t="str">
        <f>"644020240513090133172504"</f>
        <v>644020240513090133172504</v>
      </c>
      <c r="F9134" s="9"/>
    </row>
    <row r="9135" s="2" customFormat="1" ht="30" customHeight="1" spans="1:6">
      <c r="A9135" s="9">
        <v>9132</v>
      </c>
      <c r="B9135" s="10" t="s">
        <v>8633</v>
      </c>
      <c r="C9135" s="10" t="s">
        <v>8634</v>
      </c>
      <c r="D9135" s="10" t="s">
        <v>8707</v>
      </c>
      <c r="E9135" s="10" t="str">
        <f>"644020240514074031177793"</f>
        <v>644020240514074031177793</v>
      </c>
      <c r="F9135" s="9"/>
    </row>
    <row r="9136" s="2" customFormat="1" ht="30" customHeight="1" spans="1:6">
      <c r="A9136" s="9">
        <v>9133</v>
      </c>
      <c r="B9136" s="10" t="s">
        <v>8633</v>
      </c>
      <c r="C9136" s="10" t="s">
        <v>8634</v>
      </c>
      <c r="D9136" s="10" t="s">
        <v>8708</v>
      </c>
      <c r="E9136" s="10" t="str">
        <f>"644020240514084740177911"</f>
        <v>644020240514084740177911</v>
      </c>
      <c r="F9136" s="9"/>
    </row>
    <row r="9137" s="2" customFormat="1" ht="30" customHeight="1" spans="1:6">
      <c r="A9137" s="9">
        <v>9134</v>
      </c>
      <c r="B9137" s="10" t="s">
        <v>8633</v>
      </c>
      <c r="C9137" s="10" t="s">
        <v>8634</v>
      </c>
      <c r="D9137" s="10" t="s">
        <v>8709</v>
      </c>
      <c r="E9137" s="10" t="str">
        <f>"644020240514093915178159"</f>
        <v>644020240514093915178159</v>
      </c>
      <c r="F9137" s="9"/>
    </row>
    <row r="9138" s="2" customFormat="1" ht="30" customHeight="1" spans="1:6">
      <c r="A9138" s="9">
        <v>9135</v>
      </c>
      <c r="B9138" s="10" t="s">
        <v>8633</v>
      </c>
      <c r="C9138" s="10" t="s">
        <v>8634</v>
      </c>
      <c r="D9138" s="10" t="s">
        <v>8710</v>
      </c>
      <c r="E9138" s="10" t="str">
        <f>"644020240513150814175259"</f>
        <v>644020240513150814175259</v>
      </c>
      <c r="F9138" s="9"/>
    </row>
    <row r="9139" s="2" customFormat="1" ht="30" customHeight="1" spans="1:6">
      <c r="A9139" s="9">
        <v>9136</v>
      </c>
      <c r="B9139" s="10" t="s">
        <v>8633</v>
      </c>
      <c r="C9139" s="10" t="s">
        <v>8634</v>
      </c>
      <c r="D9139" s="10" t="s">
        <v>8711</v>
      </c>
      <c r="E9139" s="10" t="str">
        <f>"644020240514103107178436"</f>
        <v>644020240514103107178436</v>
      </c>
      <c r="F9139" s="9"/>
    </row>
    <row r="9140" s="2" customFormat="1" ht="30" customHeight="1" spans="1:6">
      <c r="A9140" s="9">
        <v>9137</v>
      </c>
      <c r="B9140" s="10" t="s">
        <v>8633</v>
      </c>
      <c r="C9140" s="10" t="s">
        <v>8634</v>
      </c>
      <c r="D9140" s="10" t="s">
        <v>8712</v>
      </c>
      <c r="E9140" s="10" t="str">
        <f>"644020240514102640178418"</f>
        <v>644020240514102640178418</v>
      </c>
      <c r="F9140" s="9"/>
    </row>
    <row r="9141" s="2" customFormat="1" ht="30" customHeight="1" spans="1:6">
      <c r="A9141" s="9">
        <v>9138</v>
      </c>
      <c r="B9141" s="10" t="s">
        <v>8633</v>
      </c>
      <c r="C9141" s="10" t="s">
        <v>8634</v>
      </c>
      <c r="D9141" s="10" t="s">
        <v>8713</v>
      </c>
      <c r="E9141" s="10" t="str">
        <f>"644020240514124113178916"</f>
        <v>644020240514124113178916</v>
      </c>
      <c r="F9141" s="9"/>
    </row>
    <row r="9142" s="2" customFormat="1" ht="30" customHeight="1" spans="1:6">
      <c r="A9142" s="9">
        <v>9139</v>
      </c>
      <c r="B9142" s="10" t="s">
        <v>8633</v>
      </c>
      <c r="C9142" s="10" t="s">
        <v>8634</v>
      </c>
      <c r="D9142" s="10" t="s">
        <v>8714</v>
      </c>
      <c r="E9142" s="10" t="str">
        <f>"644020240514125154178940"</f>
        <v>644020240514125154178940</v>
      </c>
      <c r="F9142" s="9"/>
    </row>
    <row r="9143" s="2" customFormat="1" ht="30" customHeight="1" spans="1:6">
      <c r="A9143" s="9">
        <v>9140</v>
      </c>
      <c r="B9143" s="10" t="s">
        <v>8633</v>
      </c>
      <c r="C9143" s="10" t="s">
        <v>8634</v>
      </c>
      <c r="D9143" s="10" t="s">
        <v>8715</v>
      </c>
      <c r="E9143" s="10" t="str">
        <f>"644020240514095809178256"</f>
        <v>644020240514095809178256</v>
      </c>
      <c r="F9143" s="9"/>
    </row>
    <row r="9144" s="2" customFormat="1" ht="30" customHeight="1" spans="1:6">
      <c r="A9144" s="9">
        <v>9141</v>
      </c>
      <c r="B9144" s="10" t="s">
        <v>8633</v>
      </c>
      <c r="C9144" s="10" t="s">
        <v>8634</v>
      </c>
      <c r="D9144" s="10" t="s">
        <v>8716</v>
      </c>
      <c r="E9144" s="10" t="str">
        <f>"644020240514141530179104"</f>
        <v>644020240514141530179104</v>
      </c>
      <c r="F9144" s="9"/>
    </row>
    <row r="9145" s="2" customFormat="1" ht="30" customHeight="1" spans="1:6">
      <c r="A9145" s="9">
        <v>9142</v>
      </c>
      <c r="B9145" s="10" t="s">
        <v>8633</v>
      </c>
      <c r="C9145" s="10" t="s">
        <v>8634</v>
      </c>
      <c r="D9145" s="10" t="s">
        <v>8717</v>
      </c>
      <c r="E9145" s="10" t="str">
        <f>"644020240514100500178291"</f>
        <v>644020240514100500178291</v>
      </c>
      <c r="F9145" s="9"/>
    </row>
    <row r="9146" s="2" customFormat="1" ht="30" customHeight="1" spans="1:6">
      <c r="A9146" s="9">
        <v>9143</v>
      </c>
      <c r="B9146" s="10" t="s">
        <v>8633</v>
      </c>
      <c r="C9146" s="10" t="s">
        <v>8634</v>
      </c>
      <c r="D9146" s="10" t="s">
        <v>8718</v>
      </c>
      <c r="E9146" s="10" t="str">
        <f>"644020240513165913176088"</f>
        <v>644020240513165913176088</v>
      </c>
      <c r="F9146" s="9"/>
    </row>
    <row r="9147" s="2" customFormat="1" ht="30" customHeight="1" spans="1:6">
      <c r="A9147" s="9">
        <v>9144</v>
      </c>
      <c r="B9147" s="10" t="s">
        <v>8633</v>
      </c>
      <c r="C9147" s="10" t="s">
        <v>8634</v>
      </c>
      <c r="D9147" s="10" t="s">
        <v>8719</v>
      </c>
      <c r="E9147" s="10" t="str">
        <f>"644020240514153929179338"</f>
        <v>644020240514153929179338</v>
      </c>
      <c r="F9147" s="9"/>
    </row>
    <row r="9148" s="2" customFormat="1" ht="30" customHeight="1" spans="1:6">
      <c r="A9148" s="9">
        <v>9145</v>
      </c>
      <c r="B9148" s="10" t="s">
        <v>8633</v>
      </c>
      <c r="C9148" s="10" t="s">
        <v>8634</v>
      </c>
      <c r="D9148" s="10" t="s">
        <v>8720</v>
      </c>
      <c r="E9148" s="10" t="str">
        <f>"644020240514152436179275"</f>
        <v>644020240514152436179275</v>
      </c>
      <c r="F9148" s="9"/>
    </row>
    <row r="9149" s="2" customFormat="1" ht="30" customHeight="1" spans="1:6">
      <c r="A9149" s="9">
        <v>9146</v>
      </c>
      <c r="B9149" s="10" t="s">
        <v>8633</v>
      </c>
      <c r="C9149" s="10" t="s">
        <v>8634</v>
      </c>
      <c r="D9149" s="10" t="s">
        <v>8721</v>
      </c>
      <c r="E9149" s="10" t="str">
        <f>"644020240513222918177358"</f>
        <v>644020240513222918177358</v>
      </c>
      <c r="F9149" s="9"/>
    </row>
    <row r="9150" s="2" customFormat="1" ht="30" customHeight="1" spans="1:6">
      <c r="A9150" s="9">
        <v>9147</v>
      </c>
      <c r="B9150" s="10" t="s">
        <v>8633</v>
      </c>
      <c r="C9150" s="10" t="s">
        <v>8634</v>
      </c>
      <c r="D9150" s="10" t="s">
        <v>8722</v>
      </c>
      <c r="E9150" s="10" t="str">
        <f>"644020240514162555179487"</f>
        <v>644020240514162555179487</v>
      </c>
      <c r="F9150" s="9"/>
    </row>
    <row r="9151" s="2" customFormat="1" ht="30" customHeight="1" spans="1:6">
      <c r="A9151" s="9">
        <v>9148</v>
      </c>
      <c r="B9151" s="10" t="s">
        <v>8633</v>
      </c>
      <c r="C9151" s="10" t="s">
        <v>8634</v>
      </c>
      <c r="D9151" s="10" t="s">
        <v>8723</v>
      </c>
      <c r="E9151" s="10" t="str">
        <f>"644020240514165635179599"</f>
        <v>644020240514165635179599</v>
      </c>
      <c r="F9151" s="9"/>
    </row>
    <row r="9152" s="2" customFormat="1" ht="30" customHeight="1" spans="1:6">
      <c r="A9152" s="9">
        <v>9149</v>
      </c>
      <c r="B9152" s="10" t="s">
        <v>8633</v>
      </c>
      <c r="C9152" s="10" t="s">
        <v>8634</v>
      </c>
      <c r="D9152" s="10" t="s">
        <v>865</v>
      </c>
      <c r="E9152" s="10" t="str">
        <f>"644020240514171422179660"</f>
        <v>644020240514171422179660</v>
      </c>
      <c r="F9152" s="9"/>
    </row>
    <row r="9153" s="2" customFormat="1" ht="30" customHeight="1" spans="1:6">
      <c r="A9153" s="9">
        <v>9150</v>
      </c>
      <c r="B9153" s="10" t="s">
        <v>8633</v>
      </c>
      <c r="C9153" s="10" t="s">
        <v>8634</v>
      </c>
      <c r="D9153" s="10" t="s">
        <v>8724</v>
      </c>
      <c r="E9153" s="10" t="str">
        <f>"644020240514014320177741"</f>
        <v>644020240514014320177741</v>
      </c>
      <c r="F9153" s="9"/>
    </row>
    <row r="9154" s="2" customFormat="1" ht="30" customHeight="1" spans="1:6">
      <c r="A9154" s="9">
        <v>9151</v>
      </c>
      <c r="B9154" s="10" t="s">
        <v>8633</v>
      </c>
      <c r="C9154" s="10" t="s">
        <v>8634</v>
      </c>
      <c r="D9154" s="10" t="s">
        <v>8725</v>
      </c>
      <c r="E9154" s="10" t="str">
        <f>"644020240513190938176547"</f>
        <v>644020240513190938176547</v>
      </c>
      <c r="F9154" s="9"/>
    </row>
    <row r="9155" s="2" customFormat="1" ht="30" customHeight="1" spans="1:6">
      <c r="A9155" s="9">
        <v>9152</v>
      </c>
      <c r="B9155" s="10" t="s">
        <v>8633</v>
      </c>
      <c r="C9155" s="10" t="s">
        <v>8634</v>
      </c>
      <c r="D9155" s="10" t="s">
        <v>8726</v>
      </c>
      <c r="E9155" s="10" t="str">
        <f>"644020240514115836178819"</f>
        <v>644020240514115836178819</v>
      </c>
      <c r="F9155" s="9"/>
    </row>
    <row r="9156" s="2" customFormat="1" ht="30" customHeight="1" spans="1:6">
      <c r="A9156" s="9">
        <v>9153</v>
      </c>
      <c r="B9156" s="10" t="s">
        <v>8633</v>
      </c>
      <c r="C9156" s="10" t="s">
        <v>8634</v>
      </c>
      <c r="D9156" s="10" t="s">
        <v>8727</v>
      </c>
      <c r="E9156" s="10" t="str">
        <f>"644020240514161608179454"</f>
        <v>644020240514161608179454</v>
      </c>
      <c r="F9156" s="9"/>
    </row>
    <row r="9157" s="2" customFormat="1" ht="30" customHeight="1" spans="1:6">
      <c r="A9157" s="9">
        <v>9154</v>
      </c>
      <c r="B9157" s="10" t="s">
        <v>8633</v>
      </c>
      <c r="C9157" s="10" t="s">
        <v>8634</v>
      </c>
      <c r="D9157" s="10" t="s">
        <v>8728</v>
      </c>
      <c r="E9157" s="10" t="str">
        <f>"644020240514181251179798"</f>
        <v>644020240514181251179798</v>
      </c>
      <c r="F9157" s="9"/>
    </row>
    <row r="9158" s="2" customFormat="1" ht="30" customHeight="1" spans="1:6">
      <c r="A9158" s="9">
        <v>9155</v>
      </c>
      <c r="B9158" s="10" t="s">
        <v>8633</v>
      </c>
      <c r="C9158" s="10" t="s">
        <v>8634</v>
      </c>
      <c r="D9158" s="10" t="s">
        <v>8729</v>
      </c>
      <c r="E9158" s="10" t="str">
        <f>"644020240514154629179355"</f>
        <v>644020240514154629179355</v>
      </c>
      <c r="F9158" s="9"/>
    </row>
    <row r="9159" s="2" customFormat="1" ht="30" customHeight="1" spans="1:6">
      <c r="A9159" s="9">
        <v>9156</v>
      </c>
      <c r="B9159" s="10" t="s">
        <v>8633</v>
      </c>
      <c r="C9159" s="10" t="s">
        <v>8634</v>
      </c>
      <c r="D9159" s="10" t="s">
        <v>8730</v>
      </c>
      <c r="E9159" s="10" t="str">
        <f>"644020240514180646179792"</f>
        <v>644020240514180646179792</v>
      </c>
      <c r="F9159" s="9"/>
    </row>
    <row r="9160" s="2" customFormat="1" ht="30" customHeight="1" spans="1:6">
      <c r="A9160" s="9">
        <v>9157</v>
      </c>
      <c r="B9160" s="10" t="s">
        <v>8633</v>
      </c>
      <c r="C9160" s="10" t="s">
        <v>8634</v>
      </c>
      <c r="D9160" s="10" t="s">
        <v>8731</v>
      </c>
      <c r="E9160" s="10" t="str">
        <f>"644020240514180928179794"</f>
        <v>644020240514180928179794</v>
      </c>
      <c r="F9160" s="9"/>
    </row>
    <row r="9161" s="2" customFormat="1" ht="30" customHeight="1" spans="1:6">
      <c r="A9161" s="9">
        <v>9158</v>
      </c>
      <c r="B9161" s="10" t="s">
        <v>8633</v>
      </c>
      <c r="C9161" s="10" t="s">
        <v>8634</v>
      </c>
      <c r="D9161" s="10" t="s">
        <v>8732</v>
      </c>
      <c r="E9161" s="10" t="str">
        <f>"644020240514172718179701"</f>
        <v>644020240514172718179701</v>
      </c>
      <c r="F9161" s="9"/>
    </row>
    <row r="9162" s="2" customFormat="1" ht="30" customHeight="1" spans="1:6">
      <c r="A9162" s="9">
        <v>9159</v>
      </c>
      <c r="B9162" s="10" t="s">
        <v>8633</v>
      </c>
      <c r="C9162" s="10" t="s">
        <v>8634</v>
      </c>
      <c r="D9162" s="10" t="s">
        <v>8733</v>
      </c>
      <c r="E9162" s="10" t="str">
        <f>"644020240514182745179828"</f>
        <v>644020240514182745179828</v>
      </c>
      <c r="F9162" s="9"/>
    </row>
    <row r="9163" s="2" customFormat="1" ht="30" customHeight="1" spans="1:6">
      <c r="A9163" s="9">
        <v>9160</v>
      </c>
      <c r="B9163" s="10" t="s">
        <v>8633</v>
      </c>
      <c r="C9163" s="10" t="s">
        <v>8634</v>
      </c>
      <c r="D9163" s="10" t="s">
        <v>8734</v>
      </c>
      <c r="E9163" s="10" t="str">
        <f>"644020240514111421178654"</f>
        <v>644020240514111421178654</v>
      </c>
      <c r="F9163" s="9"/>
    </row>
    <row r="9164" s="2" customFormat="1" ht="30" customHeight="1" spans="1:6">
      <c r="A9164" s="9">
        <v>9161</v>
      </c>
      <c r="B9164" s="10" t="s">
        <v>8633</v>
      </c>
      <c r="C9164" s="10" t="s">
        <v>8634</v>
      </c>
      <c r="D9164" s="10" t="s">
        <v>8735</v>
      </c>
      <c r="E9164" s="10" t="str">
        <f>"644020240514185352179877"</f>
        <v>644020240514185352179877</v>
      </c>
      <c r="F9164" s="9"/>
    </row>
    <row r="9165" s="2" customFormat="1" ht="30" customHeight="1" spans="1:6">
      <c r="A9165" s="9">
        <v>9162</v>
      </c>
      <c r="B9165" s="10" t="s">
        <v>8633</v>
      </c>
      <c r="C9165" s="10" t="s">
        <v>8634</v>
      </c>
      <c r="D9165" s="10" t="s">
        <v>8736</v>
      </c>
      <c r="E9165" s="10" t="str">
        <f>"644020240512235732171914"</f>
        <v>644020240512235732171914</v>
      </c>
      <c r="F9165" s="9"/>
    </row>
    <row r="9166" s="2" customFormat="1" ht="30" customHeight="1" spans="1:6">
      <c r="A9166" s="9">
        <v>9163</v>
      </c>
      <c r="B9166" s="10" t="s">
        <v>8633</v>
      </c>
      <c r="C9166" s="10" t="s">
        <v>8634</v>
      </c>
      <c r="D9166" s="10" t="s">
        <v>8737</v>
      </c>
      <c r="E9166" s="10" t="str">
        <f>"644020240514185847179883"</f>
        <v>644020240514185847179883</v>
      </c>
      <c r="F9166" s="9"/>
    </row>
    <row r="9167" s="2" customFormat="1" ht="30" customHeight="1" spans="1:6">
      <c r="A9167" s="9">
        <v>9164</v>
      </c>
      <c r="B9167" s="10" t="s">
        <v>8633</v>
      </c>
      <c r="C9167" s="10" t="s">
        <v>8634</v>
      </c>
      <c r="D9167" s="10" t="s">
        <v>1775</v>
      </c>
      <c r="E9167" s="10" t="str">
        <f>"644020240514193438179934"</f>
        <v>644020240514193438179934</v>
      </c>
      <c r="F9167" s="9"/>
    </row>
    <row r="9168" s="2" customFormat="1" ht="30" customHeight="1" spans="1:6">
      <c r="A9168" s="9">
        <v>9165</v>
      </c>
      <c r="B9168" s="10" t="s">
        <v>8633</v>
      </c>
      <c r="C9168" s="10" t="s">
        <v>8634</v>
      </c>
      <c r="D9168" s="10" t="s">
        <v>8738</v>
      </c>
      <c r="E9168" s="10" t="str">
        <f>"644020240513195809176720"</f>
        <v>644020240513195809176720</v>
      </c>
      <c r="F9168" s="9"/>
    </row>
    <row r="9169" s="2" customFormat="1" ht="30" customHeight="1" spans="1:6">
      <c r="A9169" s="9">
        <v>9166</v>
      </c>
      <c r="B9169" s="10" t="s">
        <v>8633</v>
      </c>
      <c r="C9169" s="10" t="s">
        <v>8634</v>
      </c>
      <c r="D9169" s="10" t="s">
        <v>8739</v>
      </c>
      <c r="E9169" s="10" t="str">
        <f>"644020240514151820179257"</f>
        <v>644020240514151820179257</v>
      </c>
      <c r="F9169" s="9"/>
    </row>
    <row r="9170" s="2" customFormat="1" ht="30" customHeight="1" spans="1:6">
      <c r="A9170" s="9">
        <v>9167</v>
      </c>
      <c r="B9170" s="10" t="s">
        <v>8633</v>
      </c>
      <c r="C9170" s="10" t="s">
        <v>8634</v>
      </c>
      <c r="D9170" s="10" t="s">
        <v>8740</v>
      </c>
      <c r="E9170" s="10" t="str">
        <f>"644020240514163751179528"</f>
        <v>644020240514163751179528</v>
      </c>
      <c r="F9170" s="9"/>
    </row>
    <row r="9171" s="2" customFormat="1" ht="30" customHeight="1" spans="1:6">
      <c r="A9171" s="9">
        <v>9168</v>
      </c>
      <c r="B9171" s="10" t="s">
        <v>8633</v>
      </c>
      <c r="C9171" s="10" t="s">
        <v>8634</v>
      </c>
      <c r="D9171" s="10" t="s">
        <v>8741</v>
      </c>
      <c r="E9171" s="10" t="str">
        <f>"644020240514201314180004"</f>
        <v>644020240514201314180004</v>
      </c>
      <c r="F9171" s="9"/>
    </row>
    <row r="9172" s="2" customFormat="1" ht="30" customHeight="1" spans="1:6">
      <c r="A9172" s="9">
        <v>9169</v>
      </c>
      <c r="B9172" s="10" t="s">
        <v>8633</v>
      </c>
      <c r="C9172" s="10" t="s">
        <v>8634</v>
      </c>
      <c r="D9172" s="10" t="s">
        <v>8742</v>
      </c>
      <c r="E9172" s="10" t="str">
        <f>"644020240514214528180246"</f>
        <v>644020240514214528180246</v>
      </c>
      <c r="F9172" s="9"/>
    </row>
    <row r="9173" s="2" customFormat="1" ht="30" customHeight="1" spans="1:6">
      <c r="A9173" s="9">
        <v>9170</v>
      </c>
      <c r="B9173" s="10" t="s">
        <v>8633</v>
      </c>
      <c r="C9173" s="10" t="s">
        <v>8634</v>
      </c>
      <c r="D9173" s="10" t="s">
        <v>8743</v>
      </c>
      <c r="E9173" s="10" t="str">
        <f>"644020240514222032180354"</f>
        <v>644020240514222032180354</v>
      </c>
      <c r="F9173" s="9"/>
    </row>
    <row r="9174" s="2" customFormat="1" ht="30" customHeight="1" spans="1:6">
      <c r="A9174" s="9">
        <v>9171</v>
      </c>
      <c r="B9174" s="10" t="s">
        <v>8633</v>
      </c>
      <c r="C9174" s="10" t="s">
        <v>8634</v>
      </c>
      <c r="D9174" s="10" t="s">
        <v>8744</v>
      </c>
      <c r="E9174" s="10" t="str">
        <f>"644020240514222536180365"</f>
        <v>644020240514222536180365</v>
      </c>
      <c r="F9174" s="9"/>
    </row>
    <row r="9175" s="2" customFormat="1" ht="30" customHeight="1" spans="1:6">
      <c r="A9175" s="9">
        <v>9172</v>
      </c>
      <c r="B9175" s="10" t="s">
        <v>8633</v>
      </c>
      <c r="C9175" s="10" t="s">
        <v>8634</v>
      </c>
      <c r="D9175" s="10" t="s">
        <v>8745</v>
      </c>
      <c r="E9175" s="10" t="str">
        <f>"644020240514224009180411"</f>
        <v>644020240514224009180411</v>
      </c>
      <c r="F9175" s="9"/>
    </row>
    <row r="9176" s="2" customFormat="1" ht="30" customHeight="1" spans="1:6">
      <c r="A9176" s="9">
        <v>9173</v>
      </c>
      <c r="B9176" s="10" t="s">
        <v>8633</v>
      </c>
      <c r="C9176" s="10" t="s">
        <v>8634</v>
      </c>
      <c r="D9176" s="10" t="s">
        <v>8746</v>
      </c>
      <c r="E9176" s="10" t="str">
        <f>"644020240514225109180434"</f>
        <v>644020240514225109180434</v>
      </c>
      <c r="F9176" s="9"/>
    </row>
    <row r="9177" s="2" customFormat="1" ht="30" customHeight="1" spans="1:6">
      <c r="A9177" s="9">
        <v>9174</v>
      </c>
      <c r="B9177" s="10" t="s">
        <v>8633</v>
      </c>
      <c r="C9177" s="10" t="s">
        <v>8634</v>
      </c>
      <c r="D9177" s="10" t="s">
        <v>8747</v>
      </c>
      <c r="E9177" s="10" t="str">
        <f>"644020240514080638177811"</f>
        <v>644020240514080638177811</v>
      </c>
      <c r="F9177" s="9"/>
    </row>
    <row r="9178" s="2" customFormat="1" ht="30" customHeight="1" spans="1:6">
      <c r="A9178" s="9">
        <v>9175</v>
      </c>
      <c r="B9178" s="10" t="s">
        <v>8633</v>
      </c>
      <c r="C9178" s="10" t="s">
        <v>8634</v>
      </c>
      <c r="D9178" s="10" t="s">
        <v>8748</v>
      </c>
      <c r="E9178" s="10" t="str">
        <f>"644020240513223919177399"</f>
        <v>644020240513223919177399</v>
      </c>
      <c r="F9178" s="9"/>
    </row>
    <row r="9179" s="2" customFormat="1" ht="30" customHeight="1" spans="1:6">
      <c r="A9179" s="9">
        <v>9176</v>
      </c>
      <c r="B9179" s="10" t="s">
        <v>8633</v>
      </c>
      <c r="C9179" s="10" t="s">
        <v>8634</v>
      </c>
      <c r="D9179" s="10" t="s">
        <v>8749</v>
      </c>
      <c r="E9179" s="10" t="str">
        <f>"644020240514090842178008"</f>
        <v>644020240514090842178008</v>
      </c>
      <c r="F9179" s="9"/>
    </row>
    <row r="9180" s="2" customFormat="1" ht="30" customHeight="1" spans="1:6">
      <c r="A9180" s="9">
        <v>9177</v>
      </c>
      <c r="B9180" s="10" t="s">
        <v>8633</v>
      </c>
      <c r="C9180" s="10" t="s">
        <v>8634</v>
      </c>
      <c r="D9180" s="10" t="s">
        <v>8750</v>
      </c>
      <c r="E9180" s="10" t="str">
        <f>"644020240514121932178876"</f>
        <v>644020240514121932178876</v>
      </c>
      <c r="F9180" s="9"/>
    </row>
    <row r="9181" s="2" customFormat="1" ht="30" customHeight="1" spans="1:6">
      <c r="A9181" s="9">
        <v>9178</v>
      </c>
      <c r="B9181" s="10" t="s">
        <v>8633</v>
      </c>
      <c r="C9181" s="10" t="s">
        <v>8634</v>
      </c>
      <c r="D9181" s="10" t="s">
        <v>8751</v>
      </c>
      <c r="E9181" s="10" t="str">
        <f>"644020240513180054176348"</f>
        <v>644020240513180054176348</v>
      </c>
      <c r="F9181" s="9"/>
    </row>
    <row r="9182" s="2" customFormat="1" ht="30" customHeight="1" spans="1:6">
      <c r="A9182" s="9">
        <v>9179</v>
      </c>
      <c r="B9182" s="10" t="s">
        <v>8633</v>
      </c>
      <c r="C9182" s="10" t="s">
        <v>8634</v>
      </c>
      <c r="D9182" s="10" t="s">
        <v>8752</v>
      </c>
      <c r="E9182" s="10" t="str">
        <f>"644020240513212920177087"</f>
        <v>644020240513212920177087</v>
      </c>
      <c r="F9182" s="9"/>
    </row>
    <row r="9183" s="2" customFormat="1" ht="30" customHeight="1" spans="1:6">
      <c r="A9183" s="9">
        <v>9180</v>
      </c>
      <c r="B9183" s="10" t="s">
        <v>8633</v>
      </c>
      <c r="C9183" s="10" t="s">
        <v>8634</v>
      </c>
      <c r="D9183" s="10" t="s">
        <v>8753</v>
      </c>
      <c r="E9183" s="10" t="str">
        <f>"644020240514141500179101"</f>
        <v>644020240514141500179101</v>
      </c>
      <c r="F9183" s="9"/>
    </row>
    <row r="9184" s="2" customFormat="1" ht="30" customHeight="1" spans="1:6">
      <c r="A9184" s="9">
        <v>9181</v>
      </c>
      <c r="B9184" s="10" t="s">
        <v>8633</v>
      </c>
      <c r="C9184" s="10" t="s">
        <v>8634</v>
      </c>
      <c r="D9184" s="10" t="s">
        <v>8754</v>
      </c>
      <c r="E9184" s="10" t="str">
        <f>"644020240515104455181096"</f>
        <v>644020240515104455181096</v>
      </c>
      <c r="F9184" s="9"/>
    </row>
    <row r="9185" s="2" customFormat="1" ht="30" customHeight="1" spans="1:6">
      <c r="A9185" s="9">
        <v>9182</v>
      </c>
      <c r="B9185" s="10" t="s">
        <v>8633</v>
      </c>
      <c r="C9185" s="10" t="s">
        <v>8634</v>
      </c>
      <c r="D9185" s="10" t="s">
        <v>4543</v>
      </c>
      <c r="E9185" s="10" t="str">
        <f>"644020240515102624181036"</f>
        <v>644020240515102624181036</v>
      </c>
      <c r="F9185" s="9"/>
    </row>
    <row r="9186" s="2" customFormat="1" ht="30" customHeight="1" spans="1:6">
      <c r="A9186" s="9">
        <v>9183</v>
      </c>
      <c r="B9186" s="10" t="s">
        <v>8633</v>
      </c>
      <c r="C9186" s="10" t="s">
        <v>8634</v>
      </c>
      <c r="D9186" s="10" t="s">
        <v>8755</v>
      </c>
      <c r="E9186" s="10" t="str">
        <f>"644020240512192929170603"</f>
        <v>644020240512192929170603</v>
      </c>
      <c r="F9186" s="9"/>
    </row>
    <row r="9187" s="2" customFormat="1" ht="30" customHeight="1" spans="1:6">
      <c r="A9187" s="9">
        <v>9184</v>
      </c>
      <c r="B9187" s="10" t="s">
        <v>8633</v>
      </c>
      <c r="C9187" s="10" t="s">
        <v>8634</v>
      </c>
      <c r="D9187" s="10" t="s">
        <v>8756</v>
      </c>
      <c r="E9187" s="10" t="str">
        <f>"644020240515133434181471"</f>
        <v>644020240515133434181471</v>
      </c>
      <c r="F9187" s="9"/>
    </row>
    <row r="9188" s="2" customFormat="1" ht="30" customHeight="1" spans="1:6">
      <c r="A9188" s="9">
        <v>9185</v>
      </c>
      <c r="B9188" s="10" t="s">
        <v>8633</v>
      </c>
      <c r="C9188" s="10" t="s">
        <v>8634</v>
      </c>
      <c r="D9188" s="10" t="s">
        <v>8757</v>
      </c>
      <c r="E9188" s="10" t="str">
        <f>"644020240515133001181466"</f>
        <v>644020240515133001181466</v>
      </c>
      <c r="F9188" s="9"/>
    </row>
    <row r="9189" s="2" customFormat="1" ht="30" customHeight="1" spans="1:6">
      <c r="A9189" s="9">
        <v>9186</v>
      </c>
      <c r="B9189" s="10" t="s">
        <v>8633</v>
      </c>
      <c r="C9189" s="10" t="s">
        <v>8634</v>
      </c>
      <c r="D9189" s="10" t="s">
        <v>8758</v>
      </c>
      <c r="E9189" s="10" t="str">
        <f>"644020240515140256181517"</f>
        <v>644020240515140256181517</v>
      </c>
      <c r="F9189" s="9"/>
    </row>
    <row r="9190" s="2" customFormat="1" ht="30" customHeight="1" spans="1:6">
      <c r="A9190" s="9">
        <v>9187</v>
      </c>
      <c r="B9190" s="10" t="s">
        <v>8633</v>
      </c>
      <c r="C9190" s="10" t="s">
        <v>8634</v>
      </c>
      <c r="D9190" s="10" t="s">
        <v>1075</v>
      </c>
      <c r="E9190" s="10" t="str">
        <f>"644020240515150233181621"</f>
        <v>644020240515150233181621</v>
      </c>
      <c r="F9190" s="9"/>
    </row>
    <row r="9191" s="2" customFormat="1" ht="30" customHeight="1" spans="1:6">
      <c r="A9191" s="9">
        <v>9188</v>
      </c>
      <c r="B9191" s="10" t="s">
        <v>8633</v>
      </c>
      <c r="C9191" s="10" t="s">
        <v>8634</v>
      </c>
      <c r="D9191" s="10" t="s">
        <v>6558</v>
      </c>
      <c r="E9191" s="10" t="str">
        <f>"644020240515152957181694"</f>
        <v>644020240515152957181694</v>
      </c>
      <c r="F9191" s="9"/>
    </row>
    <row r="9192" s="2" customFormat="1" ht="30" customHeight="1" spans="1:6">
      <c r="A9192" s="9">
        <v>9189</v>
      </c>
      <c r="B9192" s="10" t="s">
        <v>8633</v>
      </c>
      <c r="C9192" s="10" t="s">
        <v>8634</v>
      </c>
      <c r="D9192" s="10" t="s">
        <v>8759</v>
      </c>
      <c r="E9192" s="10" t="str">
        <f>"644020240515104819181108"</f>
        <v>644020240515104819181108</v>
      </c>
      <c r="F9192" s="9"/>
    </row>
    <row r="9193" s="2" customFormat="1" ht="30" customHeight="1" spans="1:6">
      <c r="A9193" s="9">
        <v>9190</v>
      </c>
      <c r="B9193" s="10" t="s">
        <v>8633</v>
      </c>
      <c r="C9193" s="10" t="s">
        <v>8634</v>
      </c>
      <c r="D9193" s="10" t="s">
        <v>8760</v>
      </c>
      <c r="E9193" s="10" t="str">
        <f>"644020240515145403181604"</f>
        <v>644020240515145403181604</v>
      </c>
      <c r="F9193" s="9"/>
    </row>
    <row r="9194" s="2" customFormat="1" ht="30" customHeight="1" spans="1:6">
      <c r="A9194" s="9">
        <v>9191</v>
      </c>
      <c r="B9194" s="10" t="s">
        <v>8633</v>
      </c>
      <c r="C9194" s="10" t="s">
        <v>8634</v>
      </c>
      <c r="D9194" s="10" t="s">
        <v>8761</v>
      </c>
      <c r="E9194" s="10" t="str">
        <f>"644020240515152715181691"</f>
        <v>644020240515152715181691</v>
      </c>
      <c r="F9194" s="9"/>
    </row>
    <row r="9195" s="2" customFormat="1" ht="30" customHeight="1" spans="1:6">
      <c r="A9195" s="9">
        <v>9192</v>
      </c>
      <c r="B9195" s="10" t="s">
        <v>8633</v>
      </c>
      <c r="C9195" s="10" t="s">
        <v>8634</v>
      </c>
      <c r="D9195" s="10" t="s">
        <v>8762</v>
      </c>
      <c r="E9195" s="10" t="str">
        <f>"644020240515155633181770"</f>
        <v>644020240515155633181770</v>
      </c>
      <c r="F9195" s="9"/>
    </row>
    <row r="9196" s="2" customFormat="1" ht="30" customHeight="1" spans="1:6">
      <c r="A9196" s="9">
        <v>9193</v>
      </c>
      <c r="B9196" s="10" t="s">
        <v>8633</v>
      </c>
      <c r="C9196" s="10" t="s">
        <v>8634</v>
      </c>
      <c r="D9196" s="10" t="s">
        <v>8763</v>
      </c>
      <c r="E9196" s="10" t="str">
        <f>"644020240515121914181358"</f>
        <v>644020240515121914181358</v>
      </c>
      <c r="F9196" s="9"/>
    </row>
    <row r="9197" s="2" customFormat="1" ht="30" customHeight="1" spans="1:6">
      <c r="A9197" s="9">
        <v>9194</v>
      </c>
      <c r="B9197" s="10" t="s">
        <v>8633</v>
      </c>
      <c r="C9197" s="10" t="s">
        <v>8634</v>
      </c>
      <c r="D9197" s="10" t="s">
        <v>8764</v>
      </c>
      <c r="E9197" s="10" t="str">
        <f>"644020240515164604181921"</f>
        <v>644020240515164604181921</v>
      </c>
      <c r="F9197" s="9"/>
    </row>
    <row r="9198" s="2" customFormat="1" ht="30" customHeight="1" spans="1:6">
      <c r="A9198" s="9">
        <v>9195</v>
      </c>
      <c r="B9198" s="10" t="s">
        <v>8633</v>
      </c>
      <c r="C9198" s="10" t="s">
        <v>8634</v>
      </c>
      <c r="D9198" s="10" t="s">
        <v>8765</v>
      </c>
      <c r="E9198" s="10" t="str">
        <f>"644020240515170122181960"</f>
        <v>644020240515170122181960</v>
      </c>
      <c r="F9198" s="9"/>
    </row>
    <row r="9199" s="2" customFormat="1" ht="30" customHeight="1" spans="1:6">
      <c r="A9199" s="9">
        <v>9196</v>
      </c>
      <c r="B9199" s="10" t="s">
        <v>8633</v>
      </c>
      <c r="C9199" s="10" t="s">
        <v>8634</v>
      </c>
      <c r="D9199" s="10" t="s">
        <v>8766</v>
      </c>
      <c r="E9199" s="10" t="str">
        <f>"644020240512115453168991"</f>
        <v>644020240512115453168991</v>
      </c>
      <c r="F9199" s="9"/>
    </row>
    <row r="9200" s="2" customFormat="1" ht="30" customHeight="1" spans="1:6">
      <c r="A9200" s="9">
        <v>9197</v>
      </c>
      <c r="B9200" s="10" t="s">
        <v>8633</v>
      </c>
      <c r="C9200" s="10" t="s">
        <v>8634</v>
      </c>
      <c r="D9200" s="10" t="s">
        <v>8767</v>
      </c>
      <c r="E9200" s="10" t="str">
        <f>"644020240515120648181337"</f>
        <v>644020240515120648181337</v>
      </c>
      <c r="F9200" s="9"/>
    </row>
    <row r="9201" s="2" customFormat="1" ht="30" customHeight="1" spans="1:6">
      <c r="A9201" s="9">
        <v>9198</v>
      </c>
      <c r="B9201" s="10" t="s">
        <v>8633</v>
      </c>
      <c r="C9201" s="10" t="s">
        <v>8634</v>
      </c>
      <c r="D9201" s="10" t="s">
        <v>8768</v>
      </c>
      <c r="E9201" s="10" t="str">
        <f>"644020240515162920181853"</f>
        <v>644020240515162920181853</v>
      </c>
      <c r="F9201" s="9"/>
    </row>
    <row r="9202" s="2" customFormat="1" ht="30" customHeight="1" spans="1:6">
      <c r="A9202" s="9">
        <v>9199</v>
      </c>
      <c r="B9202" s="10" t="s">
        <v>8633</v>
      </c>
      <c r="C9202" s="10" t="s">
        <v>8634</v>
      </c>
      <c r="D9202" s="10" t="s">
        <v>8769</v>
      </c>
      <c r="E9202" s="10" t="str">
        <f>"644020240514154907179363"</f>
        <v>644020240514154907179363</v>
      </c>
      <c r="F9202" s="9"/>
    </row>
    <row r="9203" s="2" customFormat="1" ht="30" customHeight="1" spans="1:6">
      <c r="A9203" s="9">
        <v>9200</v>
      </c>
      <c r="B9203" s="10" t="s">
        <v>8633</v>
      </c>
      <c r="C9203" s="10" t="s">
        <v>8634</v>
      </c>
      <c r="D9203" s="10" t="s">
        <v>8770</v>
      </c>
      <c r="E9203" s="10" t="str">
        <f>"644020240512201159170757"</f>
        <v>644020240512201159170757</v>
      </c>
      <c r="F9203" s="9"/>
    </row>
    <row r="9204" s="2" customFormat="1" ht="30" customHeight="1" spans="1:6">
      <c r="A9204" s="9">
        <v>9201</v>
      </c>
      <c r="B9204" s="10" t="s">
        <v>8633</v>
      </c>
      <c r="C9204" s="10" t="s">
        <v>8634</v>
      </c>
      <c r="D9204" s="10" t="s">
        <v>8771</v>
      </c>
      <c r="E9204" s="10" t="str">
        <f>"644020240512180630170329"</f>
        <v>644020240512180630170329</v>
      </c>
      <c r="F9204" s="9"/>
    </row>
    <row r="9205" s="2" customFormat="1" ht="30" customHeight="1" spans="1:6">
      <c r="A9205" s="9">
        <v>9202</v>
      </c>
      <c r="B9205" s="10" t="s">
        <v>8633</v>
      </c>
      <c r="C9205" s="10" t="s">
        <v>8634</v>
      </c>
      <c r="D9205" s="10" t="s">
        <v>5315</v>
      </c>
      <c r="E9205" s="10" t="str">
        <f>"644020240513212806177081"</f>
        <v>644020240513212806177081</v>
      </c>
      <c r="F9205" s="9"/>
    </row>
    <row r="9206" s="2" customFormat="1" ht="30" customHeight="1" spans="1:6">
      <c r="A9206" s="9">
        <v>9203</v>
      </c>
      <c r="B9206" s="10" t="s">
        <v>8633</v>
      </c>
      <c r="C9206" s="10" t="s">
        <v>8634</v>
      </c>
      <c r="D9206" s="10" t="s">
        <v>8772</v>
      </c>
      <c r="E9206" s="10" t="str">
        <f>"644020240513075713172188"</f>
        <v>644020240513075713172188</v>
      </c>
      <c r="F9206" s="9"/>
    </row>
    <row r="9207" s="2" customFormat="1" ht="30" customHeight="1" spans="1:6">
      <c r="A9207" s="9">
        <v>9204</v>
      </c>
      <c r="B9207" s="10" t="s">
        <v>8633</v>
      </c>
      <c r="C9207" s="10" t="s">
        <v>8634</v>
      </c>
      <c r="D9207" s="10" t="s">
        <v>8773</v>
      </c>
      <c r="E9207" s="10" t="str">
        <f>"644020240515221209182370"</f>
        <v>644020240515221209182370</v>
      </c>
      <c r="F9207" s="9"/>
    </row>
    <row r="9208" s="2" customFormat="1" ht="30" customHeight="1" spans="1:6">
      <c r="A9208" s="9">
        <v>9205</v>
      </c>
      <c r="B9208" s="10" t="s">
        <v>8633</v>
      </c>
      <c r="C9208" s="10" t="s">
        <v>8634</v>
      </c>
      <c r="D9208" s="10" t="s">
        <v>8774</v>
      </c>
      <c r="E9208" s="10" t="str">
        <f>"644020240513112602173934"</f>
        <v>644020240513112602173934</v>
      </c>
      <c r="F9208" s="9"/>
    </row>
    <row r="9209" s="2" customFormat="1" ht="30" customHeight="1" spans="1:6">
      <c r="A9209" s="9">
        <v>9206</v>
      </c>
      <c r="B9209" s="10" t="s">
        <v>8633</v>
      </c>
      <c r="C9209" s="10" t="s">
        <v>8634</v>
      </c>
      <c r="D9209" s="10" t="s">
        <v>8775</v>
      </c>
      <c r="E9209" s="10" t="str">
        <f>"644020240515233704182589"</f>
        <v>644020240515233704182589</v>
      </c>
      <c r="F9209" s="9"/>
    </row>
    <row r="9210" s="2" customFormat="1" ht="30" customHeight="1" spans="1:6">
      <c r="A9210" s="9">
        <v>9207</v>
      </c>
      <c r="B9210" s="10" t="s">
        <v>8633</v>
      </c>
      <c r="C9210" s="10" t="s">
        <v>8634</v>
      </c>
      <c r="D9210" s="10" t="s">
        <v>8776</v>
      </c>
      <c r="E9210" s="10" t="str">
        <f>"644020240513065644172116"</f>
        <v>644020240513065644172116</v>
      </c>
      <c r="F9210" s="9"/>
    </row>
    <row r="9211" s="2" customFormat="1" ht="30" customHeight="1" spans="1:6">
      <c r="A9211" s="9">
        <v>9208</v>
      </c>
      <c r="B9211" s="10" t="s">
        <v>8633</v>
      </c>
      <c r="C9211" s="10" t="s">
        <v>8634</v>
      </c>
      <c r="D9211" s="10" t="s">
        <v>8777</v>
      </c>
      <c r="E9211" s="10" t="str">
        <f>"644020240515235648182620"</f>
        <v>644020240515235648182620</v>
      </c>
      <c r="F9211" s="9"/>
    </row>
    <row r="9212" s="2" customFormat="1" ht="30" customHeight="1" spans="1:6">
      <c r="A9212" s="9">
        <v>9209</v>
      </c>
      <c r="B9212" s="10" t="s">
        <v>8633</v>
      </c>
      <c r="C9212" s="10" t="s">
        <v>8634</v>
      </c>
      <c r="D9212" s="10" t="s">
        <v>8778</v>
      </c>
      <c r="E9212" s="10" t="str">
        <f>"644020240516001900182655"</f>
        <v>644020240516001900182655</v>
      </c>
      <c r="F9212" s="9"/>
    </row>
    <row r="9213" s="2" customFormat="1" ht="30" customHeight="1" spans="1:6">
      <c r="A9213" s="9">
        <v>9210</v>
      </c>
      <c r="B9213" s="10" t="s">
        <v>8633</v>
      </c>
      <c r="C9213" s="10" t="s">
        <v>8634</v>
      </c>
      <c r="D9213" s="10" t="s">
        <v>8779</v>
      </c>
      <c r="E9213" s="10" t="str">
        <f>"644020240514073642177790"</f>
        <v>644020240514073642177790</v>
      </c>
      <c r="F9213" s="9"/>
    </row>
    <row r="9214" s="2" customFormat="1" ht="30" customHeight="1" spans="1:6">
      <c r="A9214" s="9">
        <v>9211</v>
      </c>
      <c r="B9214" s="10" t="s">
        <v>8633</v>
      </c>
      <c r="C9214" s="10" t="s">
        <v>8634</v>
      </c>
      <c r="D9214" s="10" t="s">
        <v>8780</v>
      </c>
      <c r="E9214" s="10" t="str">
        <f>"644020240516071207182719"</f>
        <v>644020240516071207182719</v>
      </c>
      <c r="F9214" s="9"/>
    </row>
    <row r="9215" s="2" customFormat="1" ht="30" customHeight="1" spans="1:6">
      <c r="A9215" s="9">
        <v>9212</v>
      </c>
      <c r="B9215" s="10" t="s">
        <v>8633</v>
      </c>
      <c r="C9215" s="10" t="s">
        <v>8634</v>
      </c>
      <c r="D9215" s="10" t="s">
        <v>8781</v>
      </c>
      <c r="E9215" s="10" t="str">
        <f>"644020240516090802182822"</f>
        <v>644020240516090802182822</v>
      </c>
      <c r="F9215" s="9"/>
    </row>
    <row r="9216" s="2" customFormat="1" ht="30" customHeight="1" spans="1:6">
      <c r="A9216" s="9">
        <v>9213</v>
      </c>
      <c r="B9216" s="10" t="s">
        <v>8633</v>
      </c>
      <c r="C9216" s="10" t="s">
        <v>8634</v>
      </c>
      <c r="D9216" s="10" t="s">
        <v>8782</v>
      </c>
      <c r="E9216" s="10" t="str">
        <f>"644020240513151701175345"</f>
        <v>644020240513151701175345</v>
      </c>
      <c r="F9216" s="9"/>
    </row>
    <row r="9217" s="2" customFormat="1" ht="30" customHeight="1" spans="1:6">
      <c r="A9217" s="9">
        <v>9214</v>
      </c>
      <c r="B9217" s="10" t="s">
        <v>8633</v>
      </c>
      <c r="C9217" s="10" t="s">
        <v>8634</v>
      </c>
      <c r="D9217" s="10" t="s">
        <v>8783</v>
      </c>
      <c r="E9217" s="10" t="str">
        <f>"644020240516102735183022"</f>
        <v>644020240516102735183022</v>
      </c>
      <c r="F9217" s="9"/>
    </row>
    <row r="9218" s="2" customFormat="1" ht="30" customHeight="1" spans="1:6">
      <c r="A9218" s="9">
        <v>9215</v>
      </c>
      <c r="B9218" s="10" t="s">
        <v>8633</v>
      </c>
      <c r="C9218" s="10" t="s">
        <v>8634</v>
      </c>
      <c r="D9218" s="10" t="s">
        <v>8784</v>
      </c>
      <c r="E9218" s="10" t="str">
        <f>"644020240516105149183080"</f>
        <v>644020240516105149183080</v>
      </c>
      <c r="F9218" s="9"/>
    </row>
    <row r="9219" s="2" customFormat="1" ht="30" customHeight="1" spans="1:6">
      <c r="A9219" s="9">
        <v>9216</v>
      </c>
      <c r="B9219" s="10" t="s">
        <v>8633</v>
      </c>
      <c r="C9219" s="10" t="s">
        <v>8634</v>
      </c>
      <c r="D9219" s="10" t="s">
        <v>8785</v>
      </c>
      <c r="E9219" s="10" t="str">
        <f>"644020240515112952181242"</f>
        <v>644020240515112952181242</v>
      </c>
      <c r="F9219" s="9"/>
    </row>
    <row r="9220" s="2" customFormat="1" ht="30" customHeight="1" spans="1:6">
      <c r="A9220" s="9">
        <v>9217</v>
      </c>
      <c r="B9220" s="10" t="s">
        <v>8633</v>
      </c>
      <c r="C9220" s="10" t="s">
        <v>8634</v>
      </c>
      <c r="D9220" s="10" t="s">
        <v>8786</v>
      </c>
      <c r="E9220" s="10" t="str">
        <f>"644020240515153922181718"</f>
        <v>644020240515153922181718</v>
      </c>
      <c r="F9220" s="9"/>
    </row>
    <row r="9221" s="2" customFormat="1" ht="30" customHeight="1" spans="1:6">
      <c r="A9221" s="9">
        <v>9218</v>
      </c>
      <c r="B9221" s="10" t="s">
        <v>8633</v>
      </c>
      <c r="C9221" s="10" t="s">
        <v>8634</v>
      </c>
      <c r="D9221" s="10" t="s">
        <v>8787</v>
      </c>
      <c r="E9221" s="10" t="str">
        <f>"644020240516114548183199"</f>
        <v>644020240516114548183199</v>
      </c>
      <c r="F9221" s="9"/>
    </row>
    <row r="9222" s="2" customFormat="1" ht="30" customHeight="1" spans="1:6">
      <c r="A9222" s="9">
        <v>9219</v>
      </c>
      <c r="B9222" s="10" t="s">
        <v>8633</v>
      </c>
      <c r="C9222" s="10" t="s">
        <v>8634</v>
      </c>
      <c r="D9222" s="10" t="s">
        <v>8788</v>
      </c>
      <c r="E9222" s="10" t="str">
        <f>"644020240516120114183230"</f>
        <v>644020240516120114183230</v>
      </c>
      <c r="F9222" s="9"/>
    </row>
    <row r="9223" s="2" customFormat="1" ht="30" customHeight="1" spans="1:6">
      <c r="A9223" s="9">
        <v>9220</v>
      </c>
      <c r="B9223" s="10" t="s">
        <v>8633</v>
      </c>
      <c r="C9223" s="10" t="s">
        <v>8634</v>
      </c>
      <c r="D9223" s="10" t="s">
        <v>8789</v>
      </c>
      <c r="E9223" s="10" t="str">
        <f>"644020240516113740183186"</f>
        <v>644020240516113740183186</v>
      </c>
      <c r="F9223" s="9"/>
    </row>
    <row r="9224" s="2" customFormat="1" ht="30" customHeight="1" spans="1:6">
      <c r="A9224" s="9">
        <v>9221</v>
      </c>
      <c r="B9224" s="10" t="s">
        <v>8633</v>
      </c>
      <c r="C9224" s="10" t="s">
        <v>8634</v>
      </c>
      <c r="D9224" s="10" t="s">
        <v>8790</v>
      </c>
      <c r="E9224" s="10" t="str">
        <f>"644020240516125118183315"</f>
        <v>644020240516125118183315</v>
      </c>
      <c r="F9224" s="9"/>
    </row>
    <row r="9225" s="2" customFormat="1" ht="30" customHeight="1" spans="1:6">
      <c r="A9225" s="9">
        <v>9222</v>
      </c>
      <c r="B9225" s="10" t="s">
        <v>8633</v>
      </c>
      <c r="C9225" s="10" t="s">
        <v>8634</v>
      </c>
      <c r="D9225" s="10" t="s">
        <v>8791</v>
      </c>
      <c r="E9225" s="10" t="str">
        <f>"644020240516125249183319"</f>
        <v>644020240516125249183319</v>
      </c>
      <c r="F9225" s="9"/>
    </row>
    <row r="9226" s="2" customFormat="1" ht="30" customHeight="1" spans="1:6">
      <c r="A9226" s="9">
        <v>9223</v>
      </c>
      <c r="B9226" s="10" t="s">
        <v>8633</v>
      </c>
      <c r="C9226" s="10" t="s">
        <v>8634</v>
      </c>
      <c r="D9226" s="10" t="s">
        <v>8792</v>
      </c>
      <c r="E9226" s="10" t="str">
        <f>"644020240516100654182972"</f>
        <v>644020240516100654182972</v>
      </c>
      <c r="F9226" s="9"/>
    </row>
    <row r="9227" s="2" customFormat="1" ht="30" customHeight="1" spans="1:6">
      <c r="A9227" s="9">
        <v>9224</v>
      </c>
      <c r="B9227" s="10" t="s">
        <v>8633</v>
      </c>
      <c r="C9227" s="10" t="s">
        <v>8634</v>
      </c>
      <c r="D9227" s="10" t="s">
        <v>8793</v>
      </c>
      <c r="E9227" s="10" t="str">
        <f>"644020240516144056183449"</f>
        <v>644020240516144056183449</v>
      </c>
      <c r="F9227" s="9"/>
    </row>
    <row r="9228" s="2" customFormat="1" ht="30" customHeight="1" spans="1:6">
      <c r="A9228" s="9">
        <v>9225</v>
      </c>
      <c r="B9228" s="10" t="s">
        <v>8633</v>
      </c>
      <c r="C9228" s="10" t="s">
        <v>8634</v>
      </c>
      <c r="D9228" s="10" t="s">
        <v>8794</v>
      </c>
      <c r="E9228" s="10" t="str">
        <f>"644020240516160631183630"</f>
        <v>644020240516160631183630</v>
      </c>
      <c r="F9228" s="9"/>
    </row>
    <row r="9229" s="2" customFormat="1" ht="30" customHeight="1" spans="1:6">
      <c r="A9229" s="9">
        <v>9226</v>
      </c>
      <c r="B9229" s="10" t="s">
        <v>8633</v>
      </c>
      <c r="C9229" s="10" t="s">
        <v>8634</v>
      </c>
      <c r="D9229" s="10" t="s">
        <v>8795</v>
      </c>
      <c r="E9229" s="10" t="str">
        <f>"644020240516151822183524"</f>
        <v>644020240516151822183524</v>
      </c>
      <c r="F9229" s="9"/>
    </row>
    <row r="9230" s="2" customFormat="1" ht="30" customHeight="1" spans="1:6">
      <c r="A9230" s="9">
        <v>9227</v>
      </c>
      <c r="B9230" s="10" t="s">
        <v>8633</v>
      </c>
      <c r="C9230" s="10" t="s">
        <v>8634</v>
      </c>
      <c r="D9230" s="10" t="s">
        <v>8796</v>
      </c>
      <c r="E9230" s="10" t="str">
        <f>"644020240516165245183749"</f>
        <v>644020240516165245183749</v>
      </c>
      <c r="F9230" s="9"/>
    </row>
    <row r="9231" s="2" customFormat="1" ht="30" customHeight="1" spans="1:6">
      <c r="A9231" s="9">
        <v>9228</v>
      </c>
      <c r="B9231" s="10" t="s">
        <v>8633</v>
      </c>
      <c r="C9231" s="10" t="s">
        <v>8634</v>
      </c>
      <c r="D9231" s="10" t="s">
        <v>8797</v>
      </c>
      <c r="E9231" s="10" t="str">
        <f>"644020240516163545183703"</f>
        <v>644020240516163545183703</v>
      </c>
      <c r="F9231" s="9"/>
    </row>
    <row r="9232" s="2" customFormat="1" ht="30" customHeight="1" spans="1:6">
      <c r="A9232" s="9">
        <v>9229</v>
      </c>
      <c r="B9232" s="10" t="s">
        <v>8633</v>
      </c>
      <c r="C9232" s="10" t="s">
        <v>8634</v>
      </c>
      <c r="D9232" s="10" t="s">
        <v>8798</v>
      </c>
      <c r="E9232" s="10" t="str">
        <f>"644020240515163923181889"</f>
        <v>644020240515163923181889</v>
      </c>
      <c r="F9232" s="9"/>
    </row>
    <row r="9233" s="2" customFormat="1" ht="30" customHeight="1" spans="1:6">
      <c r="A9233" s="9">
        <v>9230</v>
      </c>
      <c r="B9233" s="10" t="s">
        <v>8633</v>
      </c>
      <c r="C9233" s="10" t="s">
        <v>8634</v>
      </c>
      <c r="D9233" s="10" t="s">
        <v>8799</v>
      </c>
      <c r="E9233" s="10" t="str">
        <f>"644020240514152533179278"</f>
        <v>644020240514152533179278</v>
      </c>
      <c r="F9233" s="9"/>
    </row>
    <row r="9234" s="2" customFormat="1" ht="30" customHeight="1" spans="1:6">
      <c r="A9234" s="9">
        <v>9231</v>
      </c>
      <c r="B9234" s="10" t="s">
        <v>8633</v>
      </c>
      <c r="C9234" s="10" t="s">
        <v>8634</v>
      </c>
      <c r="D9234" s="10" t="s">
        <v>8800</v>
      </c>
      <c r="E9234" s="10" t="str">
        <f>"644020240514164910179567"</f>
        <v>644020240514164910179567</v>
      </c>
      <c r="F9234" s="9"/>
    </row>
    <row r="9235" s="2" customFormat="1" ht="30" customHeight="1" spans="1:6">
      <c r="A9235" s="9">
        <v>9232</v>
      </c>
      <c r="B9235" s="10" t="s">
        <v>8633</v>
      </c>
      <c r="C9235" s="10" t="s">
        <v>8634</v>
      </c>
      <c r="D9235" s="10" t="s">
        <v>8801</v>
      </c>
      <c r="E9235" s="10" t="str">
        <f>"644020240516062421182712"</f>
        <v>644020240516062421182712</v>
      </c>
      <c r="F9235" s="9"/>
    </row>
    <row r="9236" s="2" customFormat="1" ht="30" customHeight="1" spans="1:6">
      <c r="A9236" s="9">
        <v>9233</v>
      </c>
      <c r="B9236" s="10" t="s">
        <v>8633</v>
      </c>
      <c r="C9236" s="10" t="s">
        <v>8634</v>
      </c>
      <c r="D9236" s="10" t="s">
        <v>8802</v>
      </c>
      <c r="E9236" s="10" t="str">
        <f>"644020240516183110183935"</f>
        <v>644020240516183110183935</v>
      </c>
      <c r="F9236" s="9"/>
    </row>
    <row r="9237" s="2" customFormat="1" ht="30" customHeight="1" spans="1:6">
      <c r="A9237" s="9">
        <v>9234</v>
      </c>
      <c r="B9237" s="10" t="s">
        <v>8633</v>
      </c>
      <c r="C9237" s="10" t="s">
        <v>8634</v>
      </c>
      <c r="D9237" s="10" t="s">
        <v>8803</v>
      </c>
      <c r="E9237" s="10" t="str">
        <f>"644020240516182810183929"</f>
        <v>644020240516182810183929</v>
      </c>
      <c r="F9237" s="9"/>
    </row>
    <row r="9238" s="2" customFormat="1" ht="30" customHeight="1" spans="1:6">
      <c r="A9238" s="9">
        <v>9235</v>
      </c>
      <c r="B9238" s="10" t="s">
        <v>8633</v>
      </c>
      <c r="C9238" s="10" t="s">
        <v>8634</v>
      </c>
      <c r="D9238" s="10" t="s">
        <v>8804</v>
      </c>
      <c r="E9238" s="10" t="str">
        <f>"644020240515174624182031"</f>
        <v>644020240515174624182031</v>
      </c>
      <c r="F9238" s="9"/>
    </row>
    <row r="9239" s="2" customFormat="1" ht="30" customHeight="1" spans="1:6">
      <c r="A9239" s="9">
        <v>9236</v>
      </c>
      <c r="B9239" s="10" t="s">
        <v>8633</v>
      </c>
      <c r="C9239" s="10" t="s">
        <v>8634</v>
      </c>
      <c r="D9239" s="10" t="s">
        <v>4607</v>
      </c>
      <c r="E9239" s="10" t="str">
        <f>"644020240516133542183376"</f>
        <v>644020240516133542183376</v>
      </c>
      <c r="F9239" s="9"/>
    </row>
    <row r="9240" s="2" customFormat="1" ht="30" customHeight="1" spans="1:6">
      <c r="A9240" s="9">
        <v>9237</v>
      </c>
      <c r="B9240" s="10" t="s">
        <v>8633</v>
      </c>
      <c r="C9240" s="10" t="s">
        <v>8634</v>
      </c>
      <c r="D9240" s="10" t="s">
        <v>8805</v>
      </c>
      <c r="E9240" s="10" t="str">
        <f>"644020240516203343184071"</f>
        <v>644020240516203343184071</v>
      </c>
      <c r="F9240" s="9"/>
    </row>
    <row r="9241" s="2" customFormat="1" ht="30" customHeight="1" spans="1:6">
      <c r="A9241" s="9">
        <v>9238</v>
      </c>
      <c r="B9241" s="10" t="s">
        <v>8633</v>
      </c>
      <c r="C9241" s="10" t="s">
        <v>8634</v>
      </c>
      <c r="D9241" s="10" t="s">
        <v>8806</v>
      </c>
      <c r="E9241" s="10" t="str">
        <f>"644020240516212732184127"</f>
        <v>644020240516212732184127</v>
      </c>
      <c r="F9241" s="9"/>
    </row>
    <row r="9242" s="2" customFormat="1" ht="30" customHeight="1" spans="1:6">
      <c r="A9242" s="9">
        <v>9239</v>
      </c>
      <c r="B9242" s="10" t="s">
        <v>8633</v>
      </c>
      <c r="C9242" s="10" t="s">
        <v>8634</v>
      </c>
      <c r="D9242" s="10" t="s">
        <v>8807</v>
      </c>
      <c r="E9242" s="10" t="str">
        <f>"644020240516220734184240"</f>
        <v>644020240516220734184240</v>
      </c>
      <c r="F9242" s="9"/>
    </row>
    <row r="9243" s="2" customFormat="1" ht="30" customHeight="1" spans="1:6">
      <c r="A9243" s="9">
        <v>9240</v>
      </c>
      <c r="B9243" s="10" t="s">
        <v>8633</v>
      </c>
      <c r="C9243" s="10" t="s">
        <v>8634</v>
      </c>
      <c r="D9243" s="10" t="s">
        <v>8808</v>
      </c>
      <c r="E9243" s="10" t="str">
        <f>"644020240514183501179837"</f>
        <v>644020240514183501179837</v>
      </c>
      <c r="F9243" s="9"/>
    </row>
    <row r="9244" s="2" customFormat="1" ht="30" customHeight="1" spans="1:6">
      <c r="A9244" s="9">
        <v>9241</v>
      </c>
      <c r="B9244" s="10" t="s">
        <v>8633</v>
      </c>
      <c r="C9244" s="10" t="s">
        <v>8634</v>
      </c>
      <c r="D9244" s="10" t="s">
        <v>8809</v>
      </c>
      <c r="E9244" s="10" t="str">
        <f>"644020240516225348184345"</f>
        <v>644020240516225348184345</v>
      </c>
      <c r="F9244" s="9"/>
    </row>
    <row r="9245" s="2" customFormat="1" ht="30" customHeight="1" spans="1:6">
      <c r="A9245" s="9">
        <v>9242</v>
      </c>
      <c r="B9245" s="10" t="s">
        <v>8633</v>
      </c>
      <c r="C9245" s="10" t="s">
        <v>8634</v>
      </c>
      <c r="D9245" s="10" t="s">
        <v>8810</v>
      </c>
      <c r="E9245" s="10" t="str">
        <f>"644020240514150338179217"</f>
        <v>644020240514150338179217</v>
      </c>
      <c r="F9245" s="9"/>
    </row>
    <row r="9246" s="2" customFormat="1" ht="30" customHeight="1" spans="1:6">
      <c r="A9246" s="9">
        <v>9243</v>
      </c>
      <c r="B9246" s="10" t="s">
        <v>8633</v>
      </c>
      <c r="C9246" s="10" t="s">
        <v>8634</v>
      </c>
      <c r="D9246" s="10" t="s">
        <v>8811</v>
      </c>
      <c r="E9246" s="10" t="str">
        <f>"644020240516225554184350"</f>
        <v>644020240516225554184350</v>
      </c>
      <c r="F9246" s="9"/>
    </row>
    <row r="9247" s="2" customFormat="1" ht="30" customHeight="1" spans="1:6">
      <c r="A9247" s="9">
        <v>9244</v>
      </c>
      <c r="B9247" s="10" t="s">
        <v>8633</v>
      </c>
      <c r="C9247" s="10" t="s">
        <v>8634</v>
      </c>
      <c r="D9247" s="10" t="s">
        <v>8812</v>
      </c>
      <c r="E9247" s="10" t="str">
        <f>"644020240516223949184313"</f>
        <v>644020240516223949184313</v>
      </c>
      <c r="F9247" s="9"/>
    </row>
    <row r="9248" s="2" customFormat="1" ht="30" customHeight="1" spans="1:6">
      <c r="A9248" s="9">
        <v>9245</v>
      </c>
      <c r="B9248" s="10" t="s">
        <v>8633</v>
      </c>
      <c r="C9248" s="10" t="s">
        <v>8634</v>
      </c>
      <c r="D9248" s="10" t="s">
        <v>8813</v>
      </c>
      <c r="E9248" s="10" t="str">
        <f>"644020240516113947183191"</f>
        <v>644020240516113947183191</v>
      </c>
      <c r="F9248" s="9"/>
    </row>
    <row r="9249" s="2" customFormat="1" ht="30" customHeight="1" spans="1:6">
      <c r="A9249" s="9">
        <v>9246</v>
      </c>
      <c r="B9249" s="10" t="s">
        <v>8633</v>
      </c>
      <c r="C9249" s="10" t="s">
        <v>8634</v>
      </c>
      <c r="D9249" s="10" t="s">
        <v>8814</v>
      </c>
      <c r="E9249" s="10" t="str">
        <f>"644020240516230721184371"</f>
        <v>644020240516230721184371</v>
      </c>
      <c r="F9249" s="9"/>
    </row>
    <row r="9250" s="2" customFormat="1" ht="30" customHeight="1" spans="1:6">
      <c r="A9250" s="9">
        <v>9247</v>
      </c>
      <c r="B9250" s="10" t="s">
        <v>8633</v>
      </c>
      <c r="C9250" s="10" t="s">
        <v>8634</v>
      </c>
      <c r="D9250" s="10" t="s">
        <v>8815</v>
      </c>
      <c r="E9250" s="10" t="str">
        <f>"644020240516233309184418"</f>
        <v>644020240516233309184418</v>
      </c>
      <c r="F9250" s="9"/>
    </row>
    <row r="9251" s="2" customFormat="1" ht="30" customHeight="1" spans="1:6">
      <c r="A9251" s="9">
        <v>9248</v>
      </c>
      <c r="B9251" s="10" t="s">
        <v>8633</v>
      </c>
      <c r="C9251" s="10" t="s">
        <v>8634</v>
      </c>
      <c r="D9251" s="10" t="s">
        <v>8816</v>
      </c>
      <c r="E9251" s="10" t="str">
        <f>"644020240516233207184416"</f>
        <v>644020240516233207184416</v>
      </c>
      <c r="F9251" s="9"/>
    </row>
    <row r="9252" s="2" customFormat="1" ht="30" customHeight="1" spans="1:6">
      <c r="A9252" s="9">
        <v>9249</v>
      </c>
      <c r="B9252" s="10" t="s">
        <v>8633</v>
      </c>
      <c r="C9252" s="10" t="s">
        <v>8634</v>
      </c>
      <c r="D9252" s="10" t="s">
        <v>8817</v>
      </c>
      <c r="E9252" s="10" t="str">
        <f>"644020240517002328184492"</f>
        <v>644020240517002328184492</v>
      </c>
      <c r="F9252" s="9"/>
    </row>
    <row r="9253" s="2" customFormat="1" ht="30" customHeight="1" spans="1:6">
      <c r="A9253" s="9">
        <v>9250</v>
      </c>
      <c r="B9253" s="10" t="s">
        <v>8633</v>
      </c>
      <c r="C9253" s="10" t="s">
        <v>8634</v>
      </c>
      <c r="D9253" s="10" t="s">
        <v>8818</v>
      </c>
      <c r="E9253" s="10" t="str">
        <f>"644020240517082234184619"</f>
        <v>644020240517082234184619</v>
      </c>
      <c r="F9253" s="9"/>
    </row>
    <row r="9254" s="2" customFormat="1" ht="30" customHeight="1" spans="1:6">
      <c r="A9254" s="9">
        <v>9251</v>
      </c>
      <c r="B9254" s="10" t="s">
        <v>8633</v>
      </c>
      <c r="C9254" s="10" t="s">
        <v>8634</v>
      </c>
      <c r="D9254" s="10" t="s">
        <v>8819</v>
      </c>
      <c r="E9254" s="10" t="str">
        <f>"644020240517085520184677"</f>
        <v>644020240517085520184677</v>
      </c>
      <c r="F9254" s="9"/>
    </row>
    <row r="9255" s="2" customFormat="1" ht="30" customHeight="1" spans="1:6">
      <c r="A9255" s="9">
        <v>9252</v>
      </c>
      <c r="B9255" s="10" t="s">
        <v>8633</v>
      </c>
      <c r="C9255" s="10" t="s">
        <v>8634</v>
      </c>
      <c r="D9255" s="10" t="s">
        <v>8820</v>
      </c>
      <c r="E9255" s="10" t="str">
        <f>"644020240517092344184730"</f>
        <v>644020240517092344184730</v>
      </c>
      <c r="F9255" s="9"/>
    </row>
    <row r="9256" s="2" customFormat="1" ht="30" customHeight="1" spans="1:6">
      <c r="A9256" s="9">
        <v>9253</v>
      </c>
      <c r="B9256" s="10" t="s">
        <v>8633</v>
      </c>
      <c r="C9256" s="10" t="s">
        <v>8634</v>
      </c>
      <c r="D9256" s="10" t="s">
        <v>8821</v>
      </c>
      <c r="E9256" s="10" t="str">
        <f>"644020240517093816184762"</f>
        <v>644020240517093816184762</v>
      </c>
      <c r="F9256" s="9"/>
    </row>
    <row r="9257" s="2" customFormat="1" ht="30" customHeight="1" spans="1:6">
      <c r="A9257" s="9">
        <v>9254</v>
      </c>
      <c r="B9257" s="10" t="s">
        <v>8633</v>
      </c>
      <c r="C9257" s="10" t="s">
        <v>8634</v>
      </c>
      <c r="D9257" s="10" t="s">
        <v>8822</v>
      </c>
      <c r="E9257" s="10" t="str">
        <f>"644020240517093327184751"</f>
        <v>644020240517093327184751</v>
      </c>
      <c r="F9257" s="9"/>
    </row>
    <row r="9258" s="2" customFormat="1" ht="30" customHeight="1" spans="1:6">
      <c r="A9258" s="9">
        <v>9255</v>
      </c>
      <c r="B9258" s="10" t="s">
        <v>8633</v>
      </c>
      <c r="C9258" s="10" t="s">
        <v>8634</v>
      </c>
      <c r="D9258" s="10" t="s">
        <v>8823</v>
      </c>
      <c r="E9258" s="10" t="str">
        <f>"644020240517091135184710"</f>
        <v>644020240517091135184710</v>
      </c>
      <c r="F9258" s="9"/>
    </row>
    <row r="9259" s="2" customFormat="1" ht="30" customHeight="1" spans="1:6">
      <c r="A9259" s="9">
        <v>9256</v>
      </c>
      <c r="B9259" s="10" t="s">
        <v>8633</v>
      </c>
      <c r="C9259" s="10" t="s">
        <v>8634</v>
      </c>
      <c r="D9259" s="10" t="s">
        <v>8824</v>
      </c>
      <c r="E9259" s="10" t="str">
        <f>"644020240517090407184695"</f>
        <v>644020240517090407184695</v>
      </c>
      <c r="F9259" s="9"/>
    </row>
    <row r="9260" s="2" customFormat="1" ht="30" customHeight="1" spans="1:6">
      <c r="A9260" s="9">
        <v>9257</v>
      </c>
      <c r="B9260" s="10" t="s">
        <v>8633</v>
      </c>
      <c r="C9260" s="10" t="s">
        <v>8634</v>
      </c>
      <c r="D9260" s="10" t="s">
        <v>8825</v>
      </c>
      <c r="E9260" s="10" t="str">
        <f>"644020240517095625184803"</f>
        <v>644020240517095625184803</v>
      </c>
      <c r="F9260" s="9"/>
    </row>
    <row r="9261" s="2" customFormat="1" ht="30" customHeight="1" spans="1:6">
      <c r="A9261" s="9">
        <v>9258</v>
      </c>
      <c r="B9261" s="10" t="s">
        <v>8633</v>
      </c>
      <c r="C9261" s="10" t="s">
        <v>8634</v>
      </c>
      <c r="D9261" s="10" t="s">
        <v>8826</v>
      </c>
      <c r="E9261" s="10" t="str">
        <f>"644020240516010540182680"</f>
        <v>644020240516010540182680</v>
      </c>
      <c r="F9261" s="9"/>
    </row>
    <row r="9262" s="2" customFormat="1" ht="30" customHeight="1" spans="1:6">
      <c r="A9262" s="9">
        <v>9259</v>
      </c>
      <c r="B9262" s="10" t="s">
        <v>8633</v>
      </c>
      <c r="C9262" s="10" t="s">
        <v>8634</v>
      </c>
      <c r="D9262" s="10" t="s">
        <v>8827</v>
      </c>
      <c r="E9262" s="10" t="str">
        <f>"644020240517101830184859"</f>
        <v>644020240517101830184859</v>
      </c>
      <c r="F9262" s="9"/>
    </row>
    <row r="9263" s="2" customFormat="1" ht="30" customHeight="1" spans="1:6">
      <c r="A9263" s="9">
        <v>9260</v>
      </c>
      <c r="B9263" s="10" t="s">
        <v>8633</v>
      </c>
      <c r="C9263" s="10" t="s">
        <v>8634</v>
      </c>
      <c r="D9263" s="10" t="s">
        <v>1903</v>
      </c>
      <c r="E9263" s="10" t="str">
        <f>"644020240517095329184797"</f>
        <v>644020240517095329184797</v>
      </c>
      <c r="F9263" s="9"/>
    </row>
    <row r="9264" s="2" customFormat="1" ht="30" customHeight="1" spans="1:6">
      <c r="A9264" s="9">
        <v>9261</v>
      </c>
      <c r="B9264" s="10" t="s">
        <v>8633</v>
      </c>
      <c r="C9264" s="10" t="s">
        <v>8634</v>
      </c>
      <c r="D9264" s="10" t="s">
        <v>8828</v>
      </c>
      <c r="E9264" s="10" t="str">
        <f>"644020240517090036184686"</f>
        <v>644020240517090036184686</v>
      </c>
      <c r="F9264" s="9"/>
    </row>
    <row r="9265" s="2" customFormat="1" ht="30" customHeight="1" spans="1:6">
      <c r="A9265" s="9">
        <v>9262</v>
      </c>
      <c r="B9265" s="10" t="s">
        <v>8633</v>
      </c>
      <c r="C9265" s="10" t="s">
        <v>8634</v>
      </c>
      <c r="D9265" s="10" t="s">
        <v>8829</v>
      </c>
      <c r="E9265" s="10" t="str">
        <f>"644020240517115516185070"</f>
        <v>644020240517115516185070</v>
      </c>
      <c r="F9265" s="9"/>
    </row>
    <row r="9266" s="2" customFormat="1" ht="30" customHeight="1" spans="1:6">
      <c r="A9266" s="9">
        <v>9263</v>
      </c>
      <c r="B9266" s="10" t="s">
        <v>8633</v>
      </c>
      <c r="C9266" s="10" t="s">
        <v>8634</v>
      </c>
      <c r="D9266" s="10" t="s">
        <v>8830</v>
      </c>
      <c r="E9266" s="10" t="str">
        <f>"644020240517121834185105"</f>
        <v>644020240517121834185105</v>
      </c>
      <c r="F9266" s="9"/>
    </row>
    <row r="9267" s="2" customFormat="1" ht="30" customHeight="1" spans="1:6">
      <c r="A9267" s="9">
        <v>9264</v>
      </c>
      <c r="B9267" s="10" t="s">
        <v>8633</v>
      </c>
      <c r="C9267" s="10" t="s">
        <v>8634</v>
      </c>
      <c r="D9267" s="10" t="s">
        <v>8831</v>
      </c>
      <c r="E9267" s="10" t="str">
        <f>"644020240517001808184484"</f>
        <v>644020240517001808184484</v>
      </c>
      <c r="F9267" s="9"/>
    </row>
    <row r="9268" s="2" customFormat="1" ht="30" customHeight="1" spans="1:6">
      <c r="A9268" s="9">
        <v>9265</v>
      </c>
      <c r="B9268" s="10" t="s">
        <v>8633</v>
      </c>
      <c r="C9268" s="10" t="s">
        <v>8634</v>
      </c>
      <c r="D9268" s="10" t="s">
        <v>8832</v>
      </c>
      <c r="E9268" s="10" t="str">
        <f>"644020240517010355184519"</f>
        <v>644020240517010355184519</v>
      </c>
      <c r="F9268" s="9"/>
    </row>
    <row r="9269" s="2" customFormat="1" ht="30" customHeight="1" spans="1:6">
      <c r="A9269" s="9">
        <v>9266</v>
      </c>
      <c r="B9269" s="10" t="s">
        <v>8633</v>
      </c>
      <c r="C9269" s="10" t="s">
        <v>8634</v>
      </c>
      <c r="D9269" s="10" t="s">
        <v>8833</v>
      </c>
      <c r="E9269" s="10" t="str">
        <f>"644020240517124056185154"</f>
        <v>644020240517124056185154</v>
      </c>
      <c r="F9269" s="9"/>
    </row>
    <row r="9270" s="2" customFormat="1" ht="30" customHeight="1" spans="1:6">
      <c r="A9270" s="9">
        <v>9267</v>
      </c>
      <c r="B9270" s="10" t="s">
        <v>8633</v>
      </c>
      <c r="C9270" s="10" t="s">
        <v>8634</v>
      </c>
      <c r="D9270" s="10" t="s">
        <v>8834</v>
      </c>
      <c r="E9270" s="10" t="str">
        <f>"644020240516024130182699"</f>
        <v>644020240516024130182699</v>
      </c>
      <c r="F9270" s="9"/>
    </row>
    <row r="9271" s="2" customFormat="1" ht="30" customHeight="1" spans="1:6">
      <c r="A9271" s="9">
        <v>9268</v>
      </c>
      <c r="B9271" s="10" t="s">
        <v>8633</v>
      </c>
      <c r="C9271" s="10" t="s">
        <v>8634</v>
      </c>
      <c r="D9271" s="10" t="s">
        <v>8835</v>
      </c>
      <c r="E9271" s="10" t="str">
        <f>"644020240517131229185231"</f>
        <v>644020240517131229185231</v>
      </c>
      <c r="F9271" s="9"/>
    </row>
    <row r="9272" s="2" customFormat="1" ht="30" customHeight="1" spans="1:6">
      <c r="A9272" s="9">
        <v>9269</v>
      </c>
      <c r="B9272" s="10" t="s">
        <v>8633</v>
      </c>
      <c r="C9272" s="10" t="s">
        <v>8634</v>
      </c>
      <c r="D9272" s="10" t="s">
        <v>8836</v>
      </c>
      <c r="E9272" s="10" t="str">
        <f>"644020240517122243185114"</f>
        <v>644020240517122243185114</v>
      </c>
      <c r="F9272" s="9"/>
    </row>
    <row r="9273" s="2" customFormat="1" ht="30" customHeight="1" spans="1:6">
      <c r="A9273" s="9">
        <v>9270</v>
      </c>
      <c r="B9273" s="10" t="s">
        <v>8633</v>
      </c>
      <c r="C9273" s="10" t="s">
        <v>8634</v>
      </c>
      <c r="D9273" s="10" t="s">
        <v>8837</v>
      </c>
      <c r="E9273" s="10" t="str">
        <f>"644020240517133711185276"</f>
        <v>644020240517133711185276</v>
      </c>
      <c r="F9273" s="9"/>
    </row>
    <row r="9274" s="2" customFormat="1" ht="30" customHeight="1" spans="1:6">
      <c r="A9274" s="9">
        <v>9271</v>
      </c>
      <c r="B9274" s="10" t="s">
        <v>8633</v>
      </c>
      <c r="C9274" s="10" t="s">
        <v>8634</v>
      </c>
      <c r="D9274" s="10" t="s">
        <v>8838</v>
      </c>
      <c r="E9274" s="10" t="str">
        <f>"644020240517133636185275"</f>
        <v>644020240517133636185275</v>
      </c>
      <c r="F9274" s="9"/>
    </row>
    <row r="9275" s="2" customFormat="1" ht="30" customHeight="1" spans="1:6">
      <c r="A9275" s="9">
        <v>9272</v>
      </c>
      <c r="B9275" s="10" t="s">
        <v>8633</v>
      </c>
      <c r="C9275" s="10" t="s">
        <v>8634</v>
      </c>
      <c r="D9275" s="10" t="s">
        <v>8839</v>
      </c>
      <c r="E9275" s="10" t="str">
        <f>"644020240517145428185412"</f>
        <v>644020240517145428185412</v>
      </c>
      <c r="F9275" s="9"/>
    </row>
    <row r="9276" s="2" customFormat="1" ht="30" customHeight="1" spans="1:6">
      <c r="A9276" s="9">
        <v>9273</v>
      </c>
      <c r="B9276" s="10" t="s">
        <v>8633</v>
      </c>
      <c r="C9276" s="10" t="s">
        <v>8634</v>
      </c>
      <c r="D9276" s="10" t="s">
        <v>8840</v>
      </c>
      <c r="E9276" s="10" t="str">
        <f>"644020240517145720185416"</f>
        <v>644020240517145720185416</v>
      </c>
      <c r="F9276" s="9"/>
    </row>
    <row r="9277" s="2" customFormat="1" ht="30" customHeight="1" spans="1:6">
      <c r="A9277" s="9">
        <v>9274</v>
      </c>
      <c r="B9277" s="10" t="s">
        <v>8633</v>
      </c>
      <c r="C9277" s="10" t="s">
        <v>8634</v>
      </c>
      <c r="D9277" s="10" t="s">
        <v>8841</v>
      </c>
      <c r="E9277" s="10" t="str">
        <f>"644020240517135146185297"</f>
        <v>644020240517135146185297</v>
      </c>
      <c r="F9277" s="9"/>
    </row>
    <row r="9278" s="2" customFormat="1" ht="30" customHeight="1" spans="1:6">
      <c r="A9278" s="9">
        <v>9275</v>
      </c>
      <c r="B9278" s="10" t="s">
        <v>8633</v>
      </c>
      <c r="C9278" s="10" t="s">
        <v>8634</v>
      </c>
      <c r="D9278" s="10" t="s">
        <v>8842</v>
      </c>
      <c r="E9278" s="10" t="str">
        <f>"644020240517151800185471"</f>
        <v>644020240517151800185471</v>
      </c>
      <c r="F9278" s="9"/>
    </row>
    <row r="9279" s="2" customFormat="1" ht="30" customHeight="1" spans="1:6">
      <c r="A9279" s="9">
        <v>9276</v>
      </c>
      <c r="B9279" s="10" t="s">
        <v>8633</v>
      </c>
      <c r="C9279" s="10" t="s">
        <v>8634</v>
      </c>
      <c r="D9279" s="10" t="s">
        <v>8843</v>
      </c>
      <c r="E9279" s="10" t="str">
        <f>"644020240517020607184546"</f>
        <v>644020240517020607184546</v>
      </c>
      <c r="F9279" s="9"/>
    </row>
    <row r="9280" s="2" customFormat="1" ht="30" customHeight="1" spans="1:6">
      <c r="A9280" s="9">
        <v>9277</v>
      </c>
      <c r="B9280" s="10" t="s">
        <v>8633</v>
      </c>
      <c r="C9280" s="10" t="s">
        <v>8634</v>
      </c>
      <c r="D9280" s="10" t="s">
        <v>8844</v>
      </c>
      <c r="E9280" s="10" t="str">
        <f>"644020240517115403185068"</f>
        <v>644020240517115403185068</v>
      </c>
      <c r="F9280" s="9"/>
    </row>
    <row r="9281" s="2" customFormat="1" ht="30" customHeight="1" spans="1:6">
      <c r="A9281" s="9">
        <v>9278</v>
      </c>
      <c r="B9281" s="10" t="s">
        <v>8633</v>
      </c>
      <c r="C9281" s="10" t="s">
        <v>8634</v>
      </c>
      <c r="D9281" s="10" t="s">
        <v>8845</v>
      </c>
      <c r="E9281" s="10" t="str">
        <f>"644020240517165324185692"</f>
        <v>644020240517165324185692</v>
      </c>
      <c r="F9281" s="9"/>
    </row>
    <row r="9282" s="2" customFormat="1" ht="30" customHeight="1" spans="1:6">
      <c r="A9282" s="9">
        <v>9279</v>
      </c>
      <c r="B9282" s="10" t="s">
        <v>8633</v>
      </c>
      <c r="C9282" s="10" t="s">
        <v>8634</v>
      </c>
      <c r="D9282" s="10" t="s">
        <v>5221</v>
      </c>
      <c r="E9282" s="10" t="str">
        <f>"644020240517171954185731"</f>
        <v>644020240517171954185731</v>
      </c>
      <c r="F9282" s="9"/>
    </row>
    <row r="9283" s="2" customFormat="1" ht="30" customHeight="1" spans="1:6">
      <c r="A9283" s="9">
        <v>9280</v>
      </c>
      <c r="B9283" s="10" t="s">
        <v>8633</v>
      </c>
      <c r="C9283" s="10" t="s">
        <v>8634</v>
      </c>
      <c r="D9283" s="10" t="s">
        <v>4771</v>
      </c>
      <c r="E9283" s="10" t="str">
        <f>"644020240517173109185744"</f>
        <v>644020240517173109185744</v>
      </c>
      <c r="F9283" s="9"/>
    </row>
    <row r="9284" s="2" customFormat="1" ht="30" customHeight="1" spans="1:6">
      <c r="A9284" s="9">
        <v>9281</v>
      </c>
      <c r="B9284" s="10" t="s">
        <v>8633</v>
      </c>
      <c r="C9284" s="10" t="s">
        <v>8634</v>
      </c>
      <c r="D9284" s="10" t="s">
        <v>8846</v>
      </c>
      <c r="E9284" s="10" t="str">
        <f>"644020240517175006185777"</f>
        <v>644020240517175006185777</v>
      </c>
      <c r="F9284" s="9"/>
    </row>
    <row r="9285" s="2" customFormat="1" ht="30" customHeight="1" spans="1:6">
      <c r="A9285" s="9">
        <v>9282</v>
      </c>
      <c r="B9285" s="10" t="s">
        <v>8633</v>
      </c>
      <c r="C9285" s="10" t="s">
        <v>8634</v>
      </c>
      <c r="D9285" s="10" t="s">
        <v>8847</v>
      </c>
      <c r="E9285" s="10" t="str">
        <f>"644020240517171943185730"</f>
        <v>644020240517171943185730</v>
      </c>
      <c r="F9285" s="9"/>
    </row>
    <row r="9286" s="2" customFormat="1" ht="30" customHeight="1" spans="1:6">
      <c r="A9286" s="9">
        <v>9283</v>
      </c>
      <c r="B9286" s="10" t="s">
        <v>8633</v>
      </c>
      <c r="C9286" s="10" t="s">
        <v>8634</v>
      </c>
      <c r="D9286" s="10" t="s">
        <v>8848</v>
      </c>
      <c r="E9286" s="10" t="str">
        <f>"644020240517174254185764"</f>
        <v>644020240517174254185764</v>
      </c>
      <c r="F9286" s="9"/>
    </row>
    <row r="9287" s="2" customFormat="1" ht="30" customHeight="1" spans="1:6">
      <c r="A9287" s="9">
        <v>9284</v>
      </c>
      <c r="B9287" s="10" t="s">
        <v>8633</v>
      </c>
      <c r="C9287" s="10" t="s">
        <v>8634</v>
      </c>
      <c r="D9287" s="10" t="s">
        <v>8849</v>
      </c>
      <c r="E9287" s="10" t="str">
        <f>"644020240514085240177923"</f>
        <v>644020240514085240177923</v>
      </c>
      <c r="F9287" s="9"/>
    </row>
    <row r="9288" s="2" customFormat="1" ht="30" customHeight="1" spans="1:6">
      <c r="A9288" s="9">
        <v>9285</v>
      </c>
      <c r="B9288" s="10" t="s">
        <v>8633</v>
      </c>
      <c r="C9288" s="10" t="s">
        <v>8634</v>
      </c>
      <c r="D9288" s="10" t="s">
        <v>8850</v>
      </c>
      <c r="E9288" s="10" t="str">
        <f>"644020240517160912185608"</f>
        <v>644020240517160912185608</v>
      </c>
      <c r="F9288" s="9"/>
    </row>
    <row r="9289" s="2" customFormat="1" ht="30" customHeight="1" spans="1:6">
      <c r="A9289" s="9">
        <v>9286</v>
      </c>
      <c r="B9289" s="10" t="s">
        <v>8633</v>
      </c>
      <c r="C9289" s="10" t="s">
        <v>8634</v>
      </c>
      <c r="D9289" s="10" t="s">
        <v>8851</v>
      </c>
      <c r="E9289" s="10" t="str">
        <f>"644020240515185646182131"</f>
        <v>644020240515185646182131</v>
      </c>
      <c r="F9289" s="9"/>
    </row>
    <row r="9290" s="2" customFormat="1" ht="30" customHeight="1" spans="1:6">
      <c r="A9290" s="9">
        <v>9287</v>
      </c>
      <c r="B9290" s="10" t="s">
        <v>8633</v>
      </c>
      <c r="C9290" s="10" t="s">
        <v>8634</v>
      </c>
      <c r="D9290" s="10" t="s">
        <v>8852</v>
      </c>
      <c r="E9290" s="10" t="str">
        <f>"644020240517212632185986"</f>
        <v>644020240517212632185986</v>
      </c>
      <c r="F9290" s="9"/>
    </row>
    <row r="9291" s="2" customFormat="1" ht="30" customHeight="1" spans="1:6">
      <c r="A9291" s="9">
        <v>9288</v>
      </c>
      <c r="B9291" s="10" t="s">
        <v>8633</v>
      </c>
      <c r="C9291" s="10" t="s">
        <v>8634</v>
      </c>
      <c r="D9291" s="10" t="s">
        <v>8853</v>
      </c>
      <c r="E9291" s="10" t="str">
        <f>"644020240517223538186072"</f>
        <v>644020240517223538186072</v>
      </c>
      <c r="F9291" s="9"/>
    </row>
    <row r="9292" s="2" customFormat="1" ht="30" customHeight="1" spans="1:6">
      <c r="A9292" s="9">
        <v>9289</v>
      </c>
      <c r="B9292" s="10" t="s">
        <v>8633</v>
      </c>
      <c r="C9292" s="10" t="s">
        <v>8634</v>
      </c>
      <c r="D9292" s="10" t="s">
        <v>8854</v>
      </c>
      <c r="E9292" s="10" t="str">
        <f>"644020240517232342186089"</f>
        <v>644020240517232342186089</v>
      </c>
      <c r="F9292" s="9"/>
    </row>
    <row r="9293" s="2" customFormat="1" ht="30" customHeight="1" spans="1:6">
      <c r="A9293" s="9">
        <v>9290</v>
      </c>
      <c r="B9293" s="10" t="s">
        <v>8633</v>
      </c>
      <c r="C9293" s="10" t="s">
        <v>8634</v>
      </c>
      <c r="D9293" s="10" t="s">
        <v>8855</v>
      </c>
      <c r="E9293" s="10" t="str">
        <f>"644020240515151630181655"</f>
        <v>644020240515151630181655</v>
      </c>
      <c r="F9293" s="9"/>
    </row>
    <row r="9294" s="2" customFormat="1" ht="30" customHeight="1" spans="1:6">
      <c r="A9294" s="9">
        <v>9291</v>
      </c>
      <c r="B9294" s="10" t="s">
        <v>8633</v>
      </c>
      <c r="C9294" s="10" t="s">
        <v>8634</v>
      </c>
      <c r="D9294" s="10" t="s">
        <v>2267</v>
      </c>
      <c r="E9294" s="10" t="str">
        <f>"644020240517234246186122"</f>
        <v>644020240517234246186122</v>
      </c>
      <c r="F9294" s="9"/>
    </row>
    <row r="9295" s="2" customFormat="1" ht="30" customHeight="1" spans="1:6">
      <c r="A9295" s="9">
        <v>9292</v>
      </c>
      <c r="B9295" s="10" t="s">
        <v>8633</v>
      </c>
      <c r="C9295" s="10" t="s">
        <v>8634</v>
      </c>
      <c r="D9295" s="10" t="s">
        <v>8856</v>
      </c>
      <c r="E9295" s="10" t="str">
        <f>"644020240517233050186106"</f>
        <v>644020240517233050186106</v>
      </c>
      <c r="F9295" s="9"/>
    </row>
    <row r="9296" s="2" customFormat="1" ht="30" customHeight="1" spans="1:6">
      <c r="A9296" s="9">
        <v>9293</v>
      </c>
      <c r="B9296" s="10" t="s">
        <v>8633</v>
      </c>
      <c r="C9296" s="10" t="s">
        <v>8634</v>
      </c>
      <c r="D9296" s="10" t="s">
        <v>8857</v>
      </c>
      <c r="E9296" s="10" t="str">
        <f>"644020240516095948182952"</f>
        <v>644020240516095948182952</v>
      </c>
      <c r="F9296" s="9"/>
    </row>
    <row r="9297" s="2" customFormat="1" ht="30" customHeight="1" spans="1:6">
      <c r="A9297" s="9">
        <v>9294</v>
      </c>
      <c r="B9297" s="10" t="s">
        <v>8633</v>
      </c>
      <c r="C9297" s="10" t="s">
        <v>8634</v>
      </c>
      <c r="D9297" s="10" t="s">
        <v>8858</v>
      </c>
      <c r="E9297" s="10" t="str">
        <f>"644020240518021618186274"</f>
        <v>644020240518021618186274</v>
      </c>
      <c r="F9297" s="9"/>
    </row>
    <row r="9298" s="2" customFormat="1" ht="30" customHeight="1" spans="1:6">
      <c r="A9298" s="9">
        <v>9295</v>
      </c>
      <c r="B9298" s="10" t="s">
        <v>8633</v>
      </c>
      <c r="C9298" s="10" t="s">
        <v>8634</v>
      </c>
      <c r="D9298" s="10" t="s">
        <v>8859</v>
      </c>
      <c r="E9298" s="10" t="str">
        <f>"644020240518035311186298"</f>
        <v>644020240518035311186298</v>
      </c>
      <c r="F9298" s="9"/>
    </row>
    <row r="9299" s="2" customFormat="1" ht="30" customHeight="1" spans="1:6">
      <c r="A9299" s="9">
        <v>9296</v>
      </c>
      <c r="B9299" s="10" t="s">
        <v>8633</v>
      </c>
      <c r="C9299" s="10" t="s">
        <v>8634</v>
      </c>
      <c r="D9299" s="10" t="s">
        <v>8860</v>
      </c>
      <c r="E9299" s="10" t="str">
        <f>"644020240518072115186336"</f>
        <v>644020240518072115186336</v>
      </c>
      <c r="F9299" s="9"/>
    </row>
    <row r="9300" s="2" customFormat="1" ht="30" customHeight="1" spans="1:6">
      <c r="A9300" s="9">
        <v>9297</v>
      </c>
      <c r="B9300" s="10" t="s">
        <v>8633</v>
      </c>
      <c r="C9300" s="10" t="s">
        <v>8634</v>
      </c>
      <c r="D9300" s="10" t="s">
        <v>8861</v>
      </c>
      <c r="E9300" s="10" t="str">
        <f>"644020240518074837186355"</f>
        <v>644020240518074837186355</v>
      </c>
      <c r="F9300" s="9"/>
    </row>
    <row r="9301" s="2" customFormat="1" ht="30" customHeight="1" spans="1:6">
      <c r="A9301" s="9">
        <v>9298</v>
      </c>
      <c r="B9301" s="10" t="s">
        <v>8633</v>
      </c>
      <c r="C9301" s="10" t="s">
        <v>8634</v>
      </c>
      <c r="D9301" s="10" t="s">
        <v>8862</v>
      </c>
      <c r="E9301" s="10" t="str">
        <f>"644020240518082707186397"</f>
        <v>644020240518082707186397</v>
      </c>
      <c r="F9301" s="9"/>
    </row>
    <row r="9302" s="2" customFormat="1" ht="30" customHeight="1" spans="1:6">
      <c r="A9302" s="9">
        <v>9299</v>
      </c>
      <c r="B9302" s="10" t="s">
        <v>8633</v>
      </c>
      <c r="C9302" s="10" t="s">
        <v>8634</v>
      </c>
      <c r="D9302" s="10" t="s">
        <v>8863</v>
      </c>
      <c r="E9302" s="10" t="str">
        <f>"644020240512215431171291"</f>
        <v>644020240512215431171291</v>
      </c>
      <c r="F9302" s="9"/>
    </row>
    <row r="9303" s="2" customFormat="1" ht="30" customHeight="1" spans="1:6">
      <c r="A9303" s="9">
        <v>9300</v>
      </c>
      <c r="B9303" s="10" t="s">
        <v>8633</v>
      </c>
      <c r="C9303" s="10" t="s">
        <v>8634</v>
      </c>
      <c r="D9303" s="10" t="s">
        <v>8864</v>
      </c>
      <c r="E9303" s="10" t="str">
        <f>"644020240518091041186466"</f>
        <v>644020240518091041186466</v>
      </c>
      <c r="F9303" s="9"/>
    </row>
    <row r="9304" s="2" customFormat="1" ht="30" customHeight="1" spans="1:6">
      <c r="A9304" s="9">
        <v>9301</v>
      </c>
      <c r="B9304" s="10" t="s">
        <v>8633</v>
      </c>
      <c r="C9304" s="10" t="s">
        <v>8634</v>
      </c>
      <c r="D9304" s="10" t="s">
        <v>2018</v>
      </c>
      <c r="E9304" s="10" t="str">
        <f>"644020240518092445186491"</f>
        <v>644020240518092445186491</v>
      </c>
      <c r="F9304" s="9"/>
    </row>
    <row r="9305" s="2" customFormat="1" ht="30" customHeight="1" spans="1:6">
      <c r="A9305" s="9">
        <v>9302</v>
      </c>
      <c r="B9305" s="10" t="s">
        <v>8633</v>
      </c>
      <c r="C9305" s="10" t="s">
        <v>8634</v>
      </c>
      <c r="D9305" s="10" t="s">
        <v>8865</v>
      </c>
      <c r="E9305" s="10" t="str">
        <f>"644020240518081939186388"</f>
        <v>644020240518081939186388</v>
      </c>
      <c r="F9305" s="9"/>
    </row>
    <row r="9306" s="2" customFormat="1" ht="30" customHeight="1" spans="1:6">
      <c r="A9306" s="9">
        <v>9303</v>
      </c>
      <c r="B9306" s="10" t="s">
        <v>8633</v>
      </c>
      <c r="C9306" s="10" t="s">
        <v>8634</v>
      </c>
      <c r="D9306" s="10" t="s">
        <v>8866</v>
      </c>
      <c r="E9306" s="10" t="str">
        <f>"644020240518101350186600"</f>
        <v>644020240518101350186600</v>
      </c>
      <c r="F9306" s="9"/>
    </row>
    <row r="9307" s="2" customFormat="1" ht="30" customHeight="1" spans="1:6">
      <c r="A9307" s="9">
        <v>9304</v>
      </c>
      <c r="B9307" s="10" t="s">
        <v>8633</v>
      </c>
      <c r="C9307" s="10" t="s">
        <v>8634</v>
      </c>
      <c r="D9307" s="10" t="s">
        <v>8867</v>
      </c>
      <c r="E9307" s="10" t="str">
        <f>"644020240515154745181743"</f>
        <v>644020240515154745181743</v>
      </c>
      <c r="F9307" s="9"/>
    </row>
    <row r="9308" s="2" customFormat="1" ht="30" customHeight="1" spans="1:6">
      <c r="A9308" s="9">
        <v>9305</v>
      </c>
      <c r="B9308" s="10" t="s">
        <v>8633</v>
      </c>
      <c r="C9308" s="10" t="s">
        <v>8634</v>
      </c>
      <c r="D9308" s="10" t="s">
        <v>8868</v>
      </c>
      <c r="E9308" s="10" t="str">
        <f>"644020240518010745186235"</f>
        <v>644020240518010745186235</v>
      </c>
      <c r="F9308" s="9"/>
    </row>
    <row r="9309" s="2" customFormat="1" ht="30" customHeight="1" spans="1:6">
      <c r="A9309" s="9">
        <v>9306</v>
      </c>
      <c r="B9309" s="10" t="s">
        <v>8633</v>
      </c>
      <c r="C9309" s="10" t="s">
        <v>8634</v>
      </c>
      <c r="D9309" s="10" t="s">
        <v>8869</v>
      </c>
      <c r="E9309" s="10" t="str">
        <f>"644020240518104212186680"</f>
        <v>644020240518104212186680</v>
      </c>
      <c r="F9309" s="9"/>
    </row>
    <row r="9310" s="2" customFormat="1" ht="30" customHeight="1" spans="1:6">
      <c r="A9310" s="9">
        <v>9307</v>
      </c>
      <c r="B9310" s="10" t="s">
        <v>8633</v>
      </c>
      <c r="C9310" s="10" t="s">
        <v>8634</v>
      </c>
      <c r="D9310" s="10" t="s">
        <v>8870</v>
      </c>
      <c r="E9310" s="10" t="str">
        <f>"644020240518104906186697"</f>
        <v>644020240518104906186697</v>
      </c>
      <c r="F9310" s="9"/>
    </row>
    <row r="9311" s="2" customFormat="1" ht="30" customHeight="1" spans="1:6">
      <c r="A9311" s="9">
        <v>9308</v>
      </c>
      <c r="B9311" s="10" t="s">
        <v>8633</v>
      </c>
      <c r="C9311" s="10" t="s">
        <v>8634</v>
      </c>
      <c r="D9311" s="10" t="s">
        <v>8871</v>
      </c>
      <c r="E9311" s="10" t="str">
        <f>"644020240518110206186715"</f>
        <v>644020240518110206186715</v>
      </c>
      <c r="F9311" s="9"/>
    </row>
    <row r="9312" s="2" customFormat="1" ht="30" customHeight="1" spans="1:6">
      <c r="A9312" s="9">
        <v>9309</v>
      </c>
      <c r="B9312" s="10" t="s">
        <v>8633</v>
      </c>
      <c r="C9312" s="10" t="s">
        <v>8634</v>
      </c>
      <c r="D9312" s="10" t="s">
        <v>8872</v>
      </c>
      <c r="E9312" s="10" t="str">
        <f>"644020240518094711186541"</f>
        <v>644020240518094711186541</v>
      </c>
      <c r="F9312" s="9"/>
    </row>
    <row r="9313" s="2" customFormat="1" ht="30" customHeight="1" spans="1:6">
      <c r="A9313" s="9">
        <v>9310</v>
      </c>
      <c r="B9313" s="10" t="s">
        <v>8873</v>
      </c>
      <c r="C9313" s="10" t="s">
        <v>8874</v>
      </c>
      <c r="D9313" s="10" t="s">
        <v>4333</v>
      </c>
      <c r="E9313" s="10" t="str">
        <f>"644020240512090825168129"</f>
        <v>644020240512090825168129</v>
      </c>
      <c r="F9313" s="9"/>
    </row>
    <row r="9314" s="2" customFormat="1" ht="30" customHeight="1" spans="1:6">
      <c r="A9314" s="9">
        <v>9311</v>
      </c>
      <c r="B9314" s="10" t="s">
        <v>8873</v>
      </c>
      <c r="C9314" s="10" t="s">
        <v>8874</v>
      </c>
      <c r="D9314" s="10" t="s">
        <v>8875</v>
      </c>
      <c r="E9314" s="10" t="str">
        <f>"644020240512103316168582"</f>
        <v>644020240512103316168582</v>
      </c>
      <c r="F9314" s="9"/>
    </row>
    <row r="9315" s="2" customFormat="1" ht="30" customHeight="1" spans="1:6">
      <c r="A9315" s="9">
        <v>9312</v>
      </c>
      <c r="B9315" s="10" t="s">
        <v>8873</v>
      </c>
      <c r="C9315" s="10" t="s">
        <v>8874</v>
      </c>
      <c r="D9315" s="10" t="s">
        <v>8876</v>
      </c>
      <c r="E9315" s="10" t="str">
        <f>"644020240512151442169706"</f>
        <v>644020240512151442169706</v>
      </c>
      <c r="F9315" s="9"/>
    </row>
    <row r="9316" s="2" customFormat="1" ht="30" customHeight="1" spans="1:6">
      <c r="A9316" s="9">
        <v>9313</v>
      </c>
      <c r="B9316" s="10" t="s">
        <v>8873</v>
      </c>
      <c r="C9316" s="10" t="s">
        <v>8874</v>
      </c>
      <c r="D9316" s="10" t="s">
        <v>8877</v>
      </c>
      <c r="E9316" s="10" t="str">
        <f>"644020240512164940170077"</f>
        <v>644020240512164940170077</v>
      </c>
      <c r="F9316" s="9"/>
    </row>
    <row r="9317" s="2" customFormat="1" ht="30" customHeight="1" spans="1:6">
      <c r="A9317" s="9">
        <v>9314</v>
      </c>
      <c r="B9317" s="10" t="s">
        <v>8873</v>
      </c>
      <c r="C9317" s="10" t="s">
        <v>8874</v>
      </c>
      <c r="D9317" s="10" t="s">
        <v>8878</v>
      </c>
      <c r="E9317" s="10" t="str">
        <f>"644020240512174952170276"</f>
        <v>644020240512174952170276</v>
      </c>
      <c r="F9317" s="9"/>
    </row>
    <row r="9318" s="2" customFormat="1" ht="30" customHeight="1" spans="1:6">
      <c r="A9318" s="9">
        <v>9315</v>
      </c>
      <c r="B9318" s="10" t="s">
        <v>8873</v>
      </c>
      <c r="C9318" s="10" t="s">
        <v>8874</v>
      </c>
      <c r="D9318" s="10" t="s">
        <v>2684</v>
      </c>
      <c r="E9318" s="10" t="str">
        <f>"644020240512200917170745"</f>
        <v>644020240512200917170745</v>
      </c>
      <c r="F9318" s="9"/>
    </row>
    <row r="9319" s="2" customFormat="1" ht="30" customHeight="1" spans="1:6">
      <c r="A9319" s="9">
        <v>9316</v>
      </c>
      <c r="B9319" s="10" t="s">
        <v>8873</v>
      </c>
      <c r="C9319" s="10" t="s">
        <v>8874</v>
      </c>
      <c r="D9319" s="10" t="s">
        <v>8879</v>
      </c>
      <c r="E9319" s="10" t="str">
        <f>"644020240512200924170746"</f>
        <v>644020240512200924170746</v>
      </c>
      <c r="F9319" s="9"/>
    </row>
    <row r="9320" s="2" customFormat="1" ht="30" customHeight="1" spans="1:6">
      <c r="A9320" s="9">
        <v>9317</v>
      </c>
      <c r="B9320" s="10" t="s">
        <v>8873</v>
      </c>
      <c r="C9320" s="10" t="s">
        <v>8874</v>
      </c>
      <c r="D9320" s="10" t="s">
        <v>8880</v>
      </c>
      <c r="E9320" s="10" t="str">
        <f>"644020240513030949172074"</f>
        <v>644020240513030949172074</v>
      </c>
      <c r="F9320" s="9"/>
    </row>
    <row r="9321" s="2" customFormat="1" ht="30" customHeight="1" spans="1:6">
      <c r="A9321" s="9">
        <v>9318</v>
      </c>
      <c r="B9321" s="10" t="s">
        <v>8873</v>
      </c>
      <c r="C9321" s="10" t="s">
        <v>8874</v>
      </c>
      <c r="D9321" s="10" t="s">
        <v>8881</v>
      </c>
      <c r="E9321" s="10" t="str">
        <f>"644020240513083654172335"</f>
        <v>644020240513083654172335</v>
      </c>
      <c r="F9321" s="9"/>
    </row>
    <row r="9322" s="2" customFormat="1" ht="30" customHeight="1" spans="1:6">
      <c r="A9322" s="9">
        <v>9319</v>
      </c>
      <c r="B9322" s="10" t="s">
        <v>8873</v>
      </c>
      <c r="C9322" s="10" t="s">
        <v>8874</v>
      </c>
      <c r="D9322" s="10" t="s">
        <v>8882</v>
      </c>
      <c r="E9322" s="10" t="str">
        <f>"644020240512095312168341"</f>
        <v>644020240512095312168341</v>
      </c>
      <c r="F9322" s="9"/>
    </row>
    <row r="9323" s="2" customFormat="1" ht="30" customHeight="1" spans="1:6">
      <c r="A9323" s="9">
        <v>9320</v>
      </c>
      <c r="B9323" s="10" t="s">
        <v>8873</v>
      </c>
      <c r="C9323" s="10" t="s">
        <v>8874</v>
      </c>
      <c r="D9323" s="10" t="s">
        <v>8883</v>
      </c>
      <c r="E9323" s="10" t="str">
        <f>"644020240513105104173610"</f>
        <v>644020240513105104173610</v>
      </c>
      <c r="F9323" s="9"/>
    </row>
    <row r="9324" s="2" customFormat="1" ht="30" customHeight="1" spans="1:6">
      <c r="A9324" s="9">
        <v>9321</v>
      </c>
      <c r="B9324" s="10" t="s">
        <v>8873</v>
      </c>
      <c r="C9324" s="10" t="s">
        <v>8874</v>
      </c>
      <c r="D9324" s="10" t="s">
        <v>8884</v>
      </c>
      <c r="E9324" s="10" t="str">
        <f>"644020240513113314173984"</f>
        <v>644020240513113314173984</v>
      </c>
      <c r="F9324" s="9"/>
    </row>
    <row r="9325" s="2" customFormat="1" ht="30" customHeight="1" spans="1:6">
      <c r="A9325" s="9">
        <v>9322</v>
      </c>
      <c r="B9325" s="10" t="s">
        <v>8873</v>
      </c>
      <c r="C9325" s="10" t="s">
        <v>8874</v>
      </c>
      <c r="D9325" s="10" t="s">
        <v>8885</v>
      </c>
      <c r="E9325" s="10" t="str">
        <f>"644020240513152019175370"</f>
        <v>644020240513152019175370</v>
      </c>
      <c r="F9325" s="9"/>
    </row>
    <row r="9326" s="2" customFormat="1" ht="30" customHeight="1" spans="1:6">
      <c r="A9326" s="9">
        <v>9323</v>
      </c>
      <c r="B9326" s="10" t="s">
        <v>8873</v>
      </c>
      <c r="C9326" s="10" t="s">
        <v>8874</v>
      </c>
      <c r="D9326" s="10" t="s">
        <v>8886</v>
      </c>
      <c r="E9326" s="10" t="str">
        <f>"644020240513144712175087"</f>
        <v>644020240513144712175087</v>
      </c>
      <c r="F9326" s="9"/>
    </row>
    <row r="9327" s="2" customFormat="1" ht="30" customHeight="1" spans="1:6">
      <c r="A9327" s="9">
        <v>9324</v>
      </c>
      <c r="B9327" s="10" t="s">
        <v>8873</v>
      </c>
      <c r="C9327" s="10" t="s">
        <v>8874</v>
      </c>
      <c r="D9327" s="10" t="s">
        <v>4771</v>
      </c>
      <c r="E9327" s="10" t="str">
        <f>"644020240513155401175728"</f>
        <v>644020240513155401175728</v>
      </c>
      <c r="F9327" s="9"/>
    </row>
    <row r="9328" s="2" customFormat="1" ht="30" customHeight="1" spans="1:6">
      <c r="A9328" s="9">
        <v>9325</v>
      </c>
      <c r="B9328" s="10" t="s">
        <v>8873</v>
      </c>
      <c r="C9328" s="10" t="s">
        <v>8874</v>
      </c>
      <c r="D9328" s="10" t="s">
        <v>8887</v>
      </c>
      <c r="E9328" s="10" t="str">
        <f>"644020240513154204175584"</f>
        <v>644020240513154204175584</v>
      </c>
      <c r="F9328" s="9"/>
    </row>
    <row r="9329" s="2" customFormat="1" ht="30" customHeight="1" spans="1:6">
      <c r="A9329" s="9">
        <v>9326</v>
      </c>
      <c r="B9329" s="10" t="s">
        <v>8873</v>
      </c>
      <c r="C9329" s="10" t="s">
        <v>8874</v>
      </c>
      <c r="D9329" s="10" t="s">
        <v>8888</v>
      </c>
      <c r="E9329" s="10" t="str">
        <f>"644020240513155643175752"</f>
        <v>644020240513155643175752</v>
      </c>
      <c r="F9329" s="9"/>
    </row>
    <row r="9330" s="2" customFormat="1" ht="30" customHeight="1" spans="1:6">
      <c r="A9330" s="9">
        <v>9327</v>
      </c>
      <c r="B9330" s="10" t="s">
        <v>8873</v>
      </c>
      <c r="C9330" s="10" t="s">
        <v>8874</v>
      </c>
      <c r="D9330" s="10" t="s">
        <v>8889</v>
      </c>
      <c r="E9330" s="10" t="str">
        <f>"644020240513162737175930"</f>
        <v>644020240513162737175930</v>
      </c>
      <c r="F9330" s="9"/>
    </row>
    <row r="9331" s="2" customFormat="1" ht="30" customHeight="1" spans="1:6">
      <c r="A9331" s="9">
        <v>9328</v>
      </c>
      <c r="B9331" s="10" t="s">
        <v>8873</v>
      </c>
      <c r="C9331" s="10" t="s">
        <v>8874</v>
      </c>
      <c r="D9331" s="10" t="s">
        <v>8890</v>
      </c>
      <c r="E9331" s="10" t="str">
        <f>"644020240513170500176119"</f>
        <v>644020240513170500176119</v>
      </c>
      <c r="F9331" s="9"/>
    </row>
    <row r="9332" s="2" customFormat="1" ht="30" customHeight="1" spans="1:6">
      <c r="A9332" s="9">
        <v>9329</v>
      </c>
      <c r="B9332" s="10" t="s">
        <v>8873</v>
      </c>
      <c r="C9332" s="10" t="s">
        <v>8874</v>
      </c>
      <c r="D9332" s="10" t="s">
        <v>8891</v>
      </c>
      <c r="E9332" s="10" t="str">
        <f>"644020240513192626176602"</f>
        <v>644020240513192626176602</v>
      </c>
      <c r="F9332" s="9"/>
    </row>
    <row r="9333" s="2" customFormat="1" ht="30" customHeight="1" spans="1:6">
      <c r="A9333" s="9">
        <v>9330</v>
      </c>
      <c r="B9333" s="10" t="s">
        <v>8873</v>
      </c>
      <c r="C9333" s="10" t="s">
        <v>8874</v>
      </c>
      <c r="D9333" s="10" t="s">
        <v>8892</v>
      </c>
      <c r="E9333" s="10" t="str">
        <f>"644020240513185752176503"</f>
        <v>644020240513185752176503</v>
      </c>
      <c r="F9333" s="9"/>
    </row>
    <row r="9334" s="2" customFormat="1" ht="30" customHeight="1" spans="1:6">
      <c r="A9334" s="9">
        <v>9331</v>
      </c>
      <c r="B9334" s="10" t="s">
        <v>8873</v>
      </c>
      <c r="C9334" s="10" t="s">
        <v>8874</v>
      </c>
      <c r="D9334" s="10" t="s">
        <v>2594</v>
      </c>
      <c r="E9334" s="10" t="str">
        <f>"644020240512103146168573"</f>
        <v>644020240512103146168573</v>
      </c>
      <c r="F9334" s="9"/>
    </row>
    <row r="9335" s="2" customFormat="1" ht="30" customHeight="1" spans="1:6">
      <c r="A9335" s="9">
        <v>9332</v>
      </c>
      <c r="B9335" s="10" t="s">
        <v>8873</v>
      </c>
      <c r="C9335" s="10" t="s">
        <v>8874</v>
      </c>
      <c r="D9335" s="10" t="s">
        <v>8893</v>
      </c>
      <c r="E9335" s="10" t="str">
        <f>"644020240513190438176527"</f>
        <v>644020240513190438176527</v>
      </c>
      <c r="F9335" s="9"/>
    </row>
    <row r="9336" s="2" customFormat="1" ht="30" customHeight="1" spans="1:6">
      <c r="A9336" s="9">
        <v>9333</v>
      </c>
      <c r="B9336" s="10" t="s">
        <v>8873</v>
      </c>
      <c r="C9336" s="10" t="s">
        <v>8874</v>
      </c>
      <c r="D9336" s="10" t="s">
        <v>8894</v>
      </c>
      <c r="E9336" s="10" t="str">
        <f>"644020240513213920177121"</f>
        <v>644020240513213920177121</v>
      </c>
      <c r="F9336" s="9"/>
    </row>
    <row r="9337" s="2" customFormat="1" ht="30" customHeight="1" spans="1:6">
      <c r="A9337" s="9">
        <v>9334</v>
      </c>
      <c r="B9337" s="10" t="s">
        <v>8873</v>
      </c>
      <c r="C9337" s="10" t="s">
        <v>8874</v>
      </c>
      <c r="D9337" s="10" t="s">
        <v>3386</v>
      </c>
      <c r="E9337" s="10" t="str">
        <f>"644020240512190121170515"</f>
        <v>644020240512190121170515</v>
      </c>
      <c r="F9337" s="9"/>
    </row>
    <row r="9338" s="2" customFormat="1" ht="30" customHeight="1" spans="1:6">
      <c r="A9338" s="9">
        <v>9335</v>
      </c>
      <c r="B9338" s="10" t="s">
        <v>8873</v>
      </c>
      <c r="C9338" s="10" t="s">
        <v>8874</v>
      </c>
      <c r="D9338" s="10" t="s">
        <v>8895</v>
      </c>
      <c r="E9338" s="10" t="str">
        <f>"644020240514000739177650"</f>
        <v>644020240514000739177650</v>
      </c>
      <c r="F9338" s="9"/>
    </row>
    <row r="9339" s="2" customFormat="1" ht="30" customHeight="1" spans="1:6">
      <c r="A9339" s="9">
        <v>9336</v>
      </c>
      <c r="B9339" s="10" t="s">
        <v>8873</v>
      </c>
      <c r="C9339" s="10" t="s">
        <v>8874</v>
      </c>
      <c r="D9339" s="10" t="s">
        <v>8896</v>
      </c>
      <c r="E9339" s="10" t="str">
        <f>"644020240514132455179018"</f>
        <v>644020240514132455179018</v>
      </c>
      <c r="F9339" s="9"/>
    </row>
    <row r="9340" s="2" customFormat="1" ht="30" customHeight="1" spans="1:6">
      <c r="A9340" s="9">
        <v>9337</v>
      </c>
      <c r="B9340" s="10" t="s">
        <v>8873</v>
      </c>
      <c r="C9340" s="10" t="s">
        <v>8874</v>
      </c>
      <c r="D9340" s="10" t="s">
        <v>8897</v>
      </c>
      <c r="E9340" s="10" t="str">
        <f>"644020240514164245179545"</f>
        <v>644020240514164245179545</v>
      </c>
      <c r="F9340" s="9"/>
    </row>
    <row r="9341" s="2" customFormat="1" ht="30" customHeight="1" spans="1:6">
      <c r="A9341" s="9">
        <v>9338</v>
      </c>
      <c r="B9341" s="10" t="s">
        <v>8873</v>
      </c>
      <c r="C9341" s="10" t="s">
        <v>8874</v>
      </c>
      <c r="D9341" s="10" t="s">
        <v>8898</v>
      </c>
      <c r="E9341" s="10" t="str">
        <f>"644020240512122306169096"</f>
        <v>644020240512122306169096</v>
      </c>
      <c r="F9341" s="9"/>
    </row>
    <row r="9342" s="2" customFormat="1" ht="30" customHeight="1" spans="1:6">
      <c r="A9342" s="9">
        <v>9339</v>
      </c>
      <c r="B9342" s="10" t="s">
        <v>8873</v>
      </c>
      <c r="C9342" s="10" t="s">
        <v>8874</v>
      </c>
      <c r="D9342" s="10" t="s">
        <v>8557</v>
      </c>
      <c r="E9342" s="10" t="str">
        <f>"644020240513101402173250"</f>
        <v>644020240513101402173250</v>
      </c>
      <c r="F9342" s="9"/>
    </row>
    <row r="9343" s="2" customFormat="1" ht="30" customHeight="1" spans="1:6">
      <c r="A9343" s="9">
        <v>9340</v>
      </c>
      <c r="B9343" s="10" t="s">
        <v>8873</v>
      </c>
      <c r="C9343" s="10" t="s">
        <v>8874</v>
      </c>
      <c r="D9343" s="10" t="s">
        <v>8899</v>
      </c>
      <c r="E9343" s="10" t="str">
        <f>"644020240513095720173092"</f>
        <v>644020240513095720173092</v>
      </c>
      <c r="F9343" s="9"/>
    </row>
    <row r="9344" s="2" customFormat="1" ht="30" customHeight="1" spans="1:6">
      <c r="A9344" s="9">
        <v>9341</v>
      </c>
      <c r="B9344" s="10" t="s">
        <v>8873</v>
      </c>
      <c r="C9344" s="10" t="s">
        <v>8874</v>
      </c>
      <c r="D9344" s="10" t="s">
        <v>8900</v>
      </c>
      <c r="E9344" s="10" t="str">
        <f>"644020240514215319180273"</f>
        <v>644020240514215319180273</v>
      </c>
      <c r="F9344" s="9"/>
    </row>
    <row r="9345" s="2" customFormat="1" ht="30" customHeight="1" spans="1:6">
      <c r="A9345" s="9">
        <v>9342</v>
      </c>
      <c r="B9345" s="10" t="s">
        <v>8873</v>
      </c>
      <c r="C9345" s="10" t="s">
        <v>8874</v>
      </c>
      <c r="D9345" s="10" t="s">
        <v>8901</v>
      </c>
      <c r="E9345" s="10" t="str">
        <f>"644020240514225536180446"</f>
        <v>644020240514225536180446</v>
      </c>
      <c r="F9345" s="9"/>
    </row>
    <row r="9346" s="2" customFormat="1" ht="30" customHeight="1" spans="1:6">
      <c r="A9346" s="9">
        <v>9343</v>
      </c>
      <c r="B9346" s="10" t="s">
        <v>8873</v>
      </c>
      <c r="C9346" s="10" t="s">
        <v>8874</v>
      </c>
      <c r="D9346" s="10" t="s">
        <v>8902</v>
      </c>
      <c r="E9346" s="10" t="str">
        <f>"644020240513145120175119"</f>
        <v>644020240513145120175119</v>
      </c>
      <c r="F9346" s="9"/>
    </row>
    <row r="9347" s="2" customFormat="1" ht="30" customHeight="1" spans="1:6">
      <c r="A9347" s="9">
        <v>9344</v>
      </c>
      <c r="B9347" s="10" t="s">
        <v>8873</v>
      </c>
      <c r="C9347" s="10" t="s">
        <v>8874</v>
      </c>
      <c r="D9347" s="10" t="s">
        <v>8903</v>
      </c>
      <c r="E9347" s="10" t="str">
        <f>"644020240515092510180837"</f>
        <v>644020240515092510180837</v>
      </c>
      <c r="F9347" s="9"/>
    </row>
    <row r="9348" s="2" customFormat="1" ht="30" customHeight="1" spans="1:6">
      <c r="A9348" s="9">
        <v>9345</v>
      </c>
      <c r="B9348" s="10" t="s">
        <v>8873</v>
      </c>
      <c r="C9348" s="10" t="s">
        <v>8874</v>
      </c>
      <c r="D9348" s="10" t="s">
        <v>1097</v>
      </c>
      <c r="E9348" s="10" t="str">
        <f>"644020240515111758181206"</f>
        <v>644020240515111758181206</v>
      </c>
      <c r="F9348" s="9"/>
    </row>
    <row r="9349" s="2" customFormat="1" ht="30" customHeight="1" spans="1:6">
      <c r="A9349" s="9">
        <v>9346</v>
      </c>
      <c r="B9349" s="10" t="s">
        <v>8873</v>
      </c>
      <c r="C9349" s="10" t="s">
        <v>8874</v>
      </c>
      <c r="D9349" s="10" t="s">
        <v>8904</v>
      </c>
      <c r="E9349" s="10" t="str">
        <f>"644020240513233957177601"</f>
        <v>644020240513233957177601</v>
      </c>
      <c r="F9349" s="9"/>
    </row>
    <row r="9350" s="2" customFormat="1" ht="30" customHeight="1" spans="1:6">
      <c r="A9350" s="9">
        <v>9347</v>
      </c>
      <c r="B9350" s="10" t="s">
        <v>8873</v>
      </c>
      <c r="C9350" s="10" t="s">
        <v>8874</v>
      </c>
      <c r="D9350" s="10" t="s">
        <v>8905</v>
      </c>
      <c r="E9350" s="10" t="str">
        <f>"644020240515163755181883"</f>
        <v>644020240515163755181883</v>
      </c>
      <c r="F9350" s="9"/>
    </row>
    <row r="9351" s="2" customFormat="1" ht="30" customHeight="1" spans="1:6">
      <c r="A9351" s="9">
        <v>9348</v>
      </c>
      <c r="B9351" s="10" t="s">
        <v>8873</v>
      </c>
      <c r="C9351" s="10" t="s">
        <v>8874</v>
      </c>
      <c r="D9351" s="10" t="s">
        <v>8906</v>
      </c>
      <c r="E9351" s="10" t="str">
        <f>"644020240515160946181806"</f>
        <v>644020240515160946181806</v>
      </c>
      <c r="F9351" s="9"/>
    </row>
    <row r="9352" s="2" customFormat="1" ht="30" customHeight="1" spans="1:6">
      <c r="A9352" s="9">
        <v>9349</v>
      </c>
      <c r="B9352" s="10" t="s">
        <v>8873</v>
      </c>
      <c r="C9352" s="10" t="s">
        <v>8874</v>
      </c>
      <c r="D9352" s="10" t="s">
        <v>8907</v>
      </c>
      <c r="E9352" s="10" t="str">
        <f>"644020240515183458182098"</f>
        <v>644020240515183458182098</v>
      </c>
      <c r="F9352" s="9"/>
    </row>
    <row r="9353" s="2" customFormat="1" ht="30" customHeight="1" spans="1:6">
      <c r="A9353" s="9">
        <v>9350</v>
      </c>
      <c r="B9353" s="10" t="s">
        <v>8873</v>
      </c>
      <c r="C9353" s="10" t="s">
        <v>8874</v>
      </c>
      <c r="D9353" s="10" t="s">
        <v>8908</v>
      </c>
      <c r="E9353" s="10" t="str">
        <f>"644020240515193547182182"</f>
        <v>644020240515193547182182</v>
      </c>
      <c r="F9353" s="9"/>
    </row>
    <row r="9354" s="2" customFormat="1" ht="30" customHeight="1" spans="1:6">
      <c r="A9354" s="9">
        <v>9351</v>
      </c>
      <c r="B9354" s="10" t="s">
        <v>8873</v>
      </c>
      <c r="C9354" s="10" t="s">
        <v>8874</v>
      </c>
      <c r="D9354" s="10" t="s">
        <v>8909</v>
      </c>
      <c r="E9354" s="10" t="str">
        <f>"644020240515163133181860"</f>
        <v>644020240515163133181860</v>
      </c>
      <c r="F9354" s="9"/>
    </row>
    <row r="9355" s="2" customFormat="1" ht="30" customHeight="1" spans="1:6">
      <c r="A9355" s="9">
        <v>9352</v>
      </c>
      <c r="B9355" s="10" t="s">
        <v>8873</v>
      </c>
      <c r="C9355" s="10" t="s">
        <v>8874</v>
      </c>
      <c r="D9355" s="10" t="s">
        <v>8910</v>
      </c>
      <c r="E9355" s="10" t="str">
        <f>"644020240515200450182224"</f>
        <v>644020240515200450182224</v>
      </c>
      <c r="F9355" s="9"/>
    </row>
    <row r="9356" s="2" customFormat="1" ht="30" customHeight="1" spans="1:6">
      <c r="A9356" s="9">
        <v>9353</v>
      </c>
      <c r="B9356" s="10" t="s">
        <v>8873</v>
      </c>
      <c r="C9356" s="10" t="s">
        <v>8874</v>
      </c>
      <c r="D9356" s="10" t="s">
        <v>8911</v>
      </c>
      <c r="E9356" s="10" t="str">
        <f>"644020240514213103180210"</f>
        <v>644020240514213103180210</v>
      </c>
      <c r="F9356" s="9"/>
    </row>
    <row r="9357" s="2" customFormat="1" ht="30" customHeight="1" spans="1:6">
      <c r="A9357" s="9">
        <v>9354</v>
      </c>
      <c r="B9357" s="10" t="s">
        <v>8873</v>
      </c>
      <c r="C9357" s="10" t="s">
        <v>8874</v>
      </c>
      <c r="D9357" s="10" t="s">
        <v>8912</v>
      </c>
      <c r="E9357" s="10" t="str">
        <f>"644020240515091541180809"</f>
        <v>644020240515091541180809</v>
      </c>
      <c r="F9357" s="9"/>
    </row>
    <row r="9358" s="2" customFormat="1" ht="30" customHeight="1" spans="1:6">
      <c r="A9358" s="9">
        <v>9355</v>
      </c>
      <c r="B9358" s="10" t="s">
        <v>8873</v>
      </c>
      <c r="C9358" s="10" t="s">
        <v>8874</v>
      </c>
      <c r="D9358" s="10" t="s">
        <v>8913</v>
      </c>
      <c r="E9358" s="10" t="str">
        <f>"644020240515222133182398"</f>
        <v>644020240515222133182398</v>
      </c>
      <c r="F9358" s="9"/>
    </row>
    <row r="9359" s="2" customFormat="1" ht="30" customHeight="1" spans="1:6">
      <c r="A9359" s="9">
        <v>9356</v>
      </c>
      <c r="B9359" s="10" t="s">
        <v>8873</v>
      </c>
      <c r="C9359" s="10" t="s">
        <v>8874</v>
      </c>
      <c r="D9359" s="10" t="s">
        <v>8914</v>
      </c>
      <c r="E9359" s="10" t="str">
        <f>"644020240515233342182578"</f>
        <v>644020240515233342182578</v>
      </c>
      <c r="F9359" s="9"/>
    </row>
    <row r="9360" s="2" customFormat="1" ht="30" customHeight="1" spans="1:6">
      <c r="A9360" s="9">
        <v>9357</v>
      </c>
      <c r="B9360" s="10" t="s">
        <v>8873</v>
      </c>
      <c r="C9360" s="10" t="s">
        <v>8874</v>
      </c>
      <c r="D9360" s="10" t="s">
        <v>6579</v>
      </c>
      <c r="E9360" s="10" t="str">
        <f>"644020240514110302178612"</f>
        <v>644020240514110302178612</v>
      </c>
      <c r="F9360" s="9"/>
    </row>
    <row r="9361" s="2" customFormat="1" ht="30" customHeight="1" spans="1:6">
      <c r="A9361" s="9">
        <v>9358</v>
      </c>
      <c r="B9361" s="10" t="s">
        <v>8873</v>
      </c>
      <c r="C9361" s="10" t="s">
        <v>8874</v>
      </c>
      <c r="D9361" s="10" t="s">
        <v>8915</v>
      </c>
      <c r="E9361" s="10" t="str">
        <f>"644020240515174354182025"</f>
        <v>644020240515174354182025</v>
      </c>
      <c r="F9361" s="9"/>
    </row>
    <row r="9362" s="2" customFormat="1" ht="30" customHeight="1" spans="1:6">
      <c r="A9362" s="9">
        <v>9359</v>
      </c>
      <c r="B9362" s="10" t="s">
        <v>8873</v>
      </c>
      <c r="C9362" s="10" t="s">
        <v>8874</v>
      </c>
      <c r="D9362" s="10" t="s">
        <v>8916</v>
      </c>
      <c r="E9362" s="10" t="str">
        <f>"644020240516090521182816"</f>
        <v>644020240516090521182816</v>
      </c>
      <c r="F9362" s="9"/>
    </row>
    <row r="9363" s="2" customFormat="1" ht="30" customHeight="1" spans="1:6">
      <c r="A9363" s="9">
        <v>9360</v>
      </c>
      <c r="B9363" s="10" t="s">
        <v>8873</v>
      </c>
      <c r="C9363" s="10" t="s">
        <v>8874</v>
      </c>
      <c r="D9363" s="10" t="s">
        <v>8917</v>
      </c>
      <c r="E9363" s="10" t="str">
        <f>"644020240514092130178074"</f>
        <v>644020240514092130178074</v>
      </c>
      <c r="F9363" s="9"/>
    </row>
    <row r="9364" s="2" customFormat="1" ht="30" customHeight="1" spans="1:6">
      <c r="A9364" s="9">
        <v>9361</v>
      </c>
      <c r="B9364" s="10" t="s">
        <v>8873</v>
      </c>
      <c r="C9364" s="10" t="s">
        <v>8874</v>
      </c>
      <c r="D9364" s="10" t="s">
        <v>8918</v>
      </c>
      <c r="E9364" s="10" t="str">
        <f>"644020240516110246183109"</f>
        <v>644020240516110246183109</v>
      </c>
      <c r="F9364" s="9"/>
    </row>
    <row r="9365" s="2" customFormat="1" ht="30" customHeight="1" spans="1:6">
      <c r="A9365" s="9">
        <v>9362</v>
      </c>
      <c r="B9365" s="10" t="s">
        <v>8873</v>
      </c>
      <c r="C9365" s="10" t="s">
        <v>8874</v>
      </c>
      <c r="D9365" s="10" t="s">
        <v>8919</v>
      </c>
      <c r="E9365" s="10" t="str">
        <f>"644020240516121200183249"</f>
        <v>644020240516121200183249</v>
      </c>
      <c r="F9365" s="9"/>
    </row>
    <row r="9366" s="2" customFormat="1" ht="30" customHeight="1" spans="1:6">
      <c r="A9366" s="9">
        <v>9363</v>
      </c>
      <c r="B9366" s="10" t="s">
        <v>8873</v>
      </c>
      <c r="C9366" s="10" t="s">
        <v>8874</v>
      </c>
      <c r="D9366" s="10" t="s">
        <v>8920</v>
      </c>
      <c r="E9366" s="10" t="str">
        <f>"644020240516124258183299"</f>
        <v>644020240516124258183299</v>
      </c>
      <c r="F9366" s="9"/>
    </row>
    <row r="9367" s="2" customFormat="1" ht="30" customHeight="1" spans="1:6">
      <c r="A9367" s="9">
        <v>9364</v>
      </c>
      <c r="B9367" s="10" t="s">
        <v>8873</v>
      </c>
      <c r="C9367" s="10" t="s">
        <v>8874</v>
      </c>
      <c r="D9367" s="10" t="s">
        <v>8921</v>
      </c>
      <c r="E9367" s="10" t="str">
        <f>"644020240512112117168843"</f>
        <v>644020240512112117168843</v>
      </c>
      <c r="F9367" s="9"/>
    </row>
    <row r="9368" s="2" customFormat="1" ht="30" customHeight="1" spans="1:6">
      <c r="A9368" s="9">
        <v>9365</v>
      </c>
      <c r="B9368" s="10" t="s">
        <v>8873</v>
      </c>
      <c r="C9368" s="10" t="s">
        <v>8874</v>
      </c>
      <c r="D9368" s="10" t="s">
        <v>1356</v>
      </c>
      <c r="E9368" s="10" t="str">
        <f>"644020240516150151183487"</f>
        <v>644020240516150151183487</v>
      </c>
      <c r="F9368" s="9"/>
    </row>
    <row r="9369" s="2" customFormat="1" ht="30" customHeight="1" spans="1:6">
      <c r="A9369" s="9">
        <v>9366</v>
      </c>
      <c r="B9369" s="10" t="s">
        <v>8873</v>
      </c>
      <c r="C9369" s="10" t="s">
        <v>8874</v>
      </c>
      <c r="D9369" s="10" t="s">
        <v>2103</v>
      </c>
      <c r="E9369" s="10" t="str">
        <f>"644020240515085930180759"</f>
        <v>644020240515085930180759</v>
      </c>
      <c r="F9369" s="9"/>
    </row>
    <row r="9370" s="2" customFormat="1" ht="30" customHeight="1" spans="1:6">
      <c r="A9370" s="9">
        <v>9367</v>
      </c>
      <c r="B9370" s="10" t="s">
        <v>8873</v>
      </c>
      <c r="C9370" s="10" t="s">
        <v>8874</v>
      </c>
      <c r="D9370" s="10" t="s">
        <v>8922</v>
      </c>
      <c r="E9370" s="10" t="str">
        <f>"644020240516214141184169"</f>
        <v>644020240516214141184169</v>
      </c>
      <c r="F9370" s="9"/>
    </row>
    <row r="9371" s="2" customFormat="1" ht="30" customHeight="1" spans="1:6">
      <c r="A9371" s="9">
        <v>9368</v>
      </c>
      <c r="B9371" s="10" t="s">
        <v>8873</v>
      </c>
      <c r="C9371" s="10" t="s">
        <v>8874</v>
      </c>
      <c r="D9371" s="10" t="s">
        <v>8923</v>
      </c>
      <c r="E9371" s="10" t="str">
        <f>"644020240516191010183990"</f>
        <v>644020240516191010183990</v>
      </c>
      <c r="F9371" s="9"/>
    </row>
    <row r="9372" s="2" customFormat="1" ht="30" customHeight="1" spans="1:6">
      <c r="A9372" s="9">
        <v>9369</v>
      </c>
      <c r="B9372" s="10" t="s">
        <v>8873</v>
      </c>
      <c r="C9372" s="10" t="s">
        <v>8874</v>
      </c>
      <c r="D9372" s="10" t="s">
        <v>2755</v>
      </c>
      <c r="E9372" s="10" t="str">
        <f>"644020240515152648181688"</f>
        <v>644020240515152648181688</v>
      </c>
      <c r="F9372" s="9"/>
    </row>
    <row r="9373" s="2" customFormat="1" ht="30" customHeight="1" spans="1:6">
      <c r="A9373" s="9">
        <v>9370</v>
      </c>
      <c r="B9373" s="10" t="s">
        <v>8873</v>
      </c>
      <c r="C9373" s="10" t="s">
        <v>8874</v>
      </c>
      <c r="D9373" s="10" t="s">
        <v>8924</v>
      </c>
      <c r="E9373" s="10" t="str">
        <f>"644020240513223420177383"</f>
        <v>644020240513223420177383</v>
      </c>
      <c r="F9373" s="9"/>
    </row>
    <row r="9374" s="2" customFormat="1" ht="30" customHeight="1" spans="1:6">
      <c r="A9374" s="9">
        <v>9371</v>
      </c>
      <c r="B9374" s="10" t="s">
        <v>8873</v>
      </c>
      <c r="C9374" s="10" t="s">
        <v>8874</v>
      </c>
      <c r="D9374" s="10" t="s">
        <v>8925</v>
      </c>
      <c r="E9374" s="10" t="str">
        <f>"644020240516131138183350"</f>
        <v>644020240516131138183350</v>
      </c>
      <c r="F9374" s="9"/>
    </row>
    <row r="9375" s="2" customFormat="1" ht="30" customHeight="1" spans="1:6">
      <c r="A9375" s="9">
        <v>9372</v>
      </c>
      <c r="B9375" s="10" t="s">
        <v>8873</v>
      </c>
      <c r="C9375" s="10" t="s">
        <v>8874</v>
      </c>
      <c r="D9375" s="10" t="s">
        <v>8926</v>
      </c>
      <c r="E9375" s="10" t="str">
        <f>"644020240516182918183932"</f>
        <v>644020240516182918183932</v>
      </c>
      <c r="F9375" s="9"/>
    </row>
    <row r="9376" s="2" customFormat="1" ht="30" customHeight="1" spans="1:6">
      <c r="A9376" s="9">
        <v>9373</v>
      </c>
      <c r="B9376" s="10" t="s">
        <v>8873</v>
      </c>
      <c r="C9376" s="10" t="s">
        <v>8874</v>
      </c>
      <c r="D9376" s="10" t="s">
        <v>8927</v>
      </c>
      <c r="E9376" s="10" t="str">
        <f>"644020240517105447184941"</f>
        <v>644020240517105447184941</v>
      </c>
      <c r="F9376" s="9"/>
    </row>
    <row r="9377" s="2" customFormat="1" ht="30" customHeight="1" spans="1:6">
      <c r="A9377" s="9">
        <v>9374</v>
      </c>
      <c r="B9377" s="10" t="s">
        <v>8873</v>
      </c>
      <c r="C9377" s="10" t="s">
        <v>8874</v>
      </c>
      <c r="D9377" s="10" t="s">
        <v>5905</v>
      </c>
      <c r="E9377" s="10" t="str">
        <f>"644020240517114536185052"</f>
        <v>644020240517114536185052</v>
      </c>
      <c r="F9377" s="9"/>
    </row>
    <row r="9378" s="2" customFormat="1" ht="30" customHeight="1" spans="1:6">
      <c r="A9378" s="9">
        <v>9375</v>
      </c>
      <c r="B9378" s="10" t="s">
        <v>8873</v>
      </c>
      <c r="C9378" s="10" t="s">
        <v>8874</v>
      </c>
      <c r="D9378" s="10" t="s">
        <v>8928</v>
      </c>
      <c r="E9378" s="10" t="str">
        <f>"644020240512211022171040"</f>
        <v>644020240512211022171040</v>
      </c>
      <c r="F9378" s="9"/>
    </row>
    <row r="9379" s="2" customFormat="1" ht="30" customHeight="1" spans="1:6">
      <c r="A9379" s="9">
        <v>9376</v>
      </c>
      <c r="B9379" s="10" t="s">
        <v>8873</v>
      </c>
      <c r="C9379" s="10" t="s">
        <v>8874</v>
      </c>
      <c r="D9379" s="10" t="s">
        <v>8929</v>
      </c>
      <c r="E9379" s="10" t="str">
        <f>"644020240516135314183397"</f>
        <v>644020240516135314183397</v>
      </c>
      <c r="F9379" s="9"/>
    </row>
    <row r="9380" s="2" customFormat="1" ht="30" customHeight="1" spans="1:6">
      <c r="A9380" s="9">
        <v>9377</v>
      </c>
      <c r="B9380" s="10" t="s">
        <v>8873</v>
      </c>
      <c r="C9380" s="10" t="s">
        <v>8874</v>
      </c>
      <c r="D9380" s="10" t="s">
        <v>8930</v>
      </c>
      <c r="E9380" s="10" t="str">
        <f>"644020240517135504185304"</f>
        <v>644020240517135504185304</v>
      </c>
      <c r="F9380" s="9"/>
    </row>
    <row r="9381" s="2" customFormat="1" ht="30" customHeight="1" spans="1:6">
      <c r="A9381" s="9">
        <v>9378</v>
      </c>
      <c r="B9381" s="10" t="s">
        <v>8873</v>
      </c>
      <c r="C9381" s="10" t="s">
        <v>8874</v>
      </c>
      <c r="D9381" s="10" t="s">
        <v>8931</v>
      </c>
      <c r="E9381" s="10" t="str">
        <f>"644020240517151344185457"</f>
        <v>644020240517151344185457</v>
      </c>
      <c r="F9381" s="9"/>
    </row>
    <row r="9382" s="2" customFormat="1" ht="30" customHeight="1" spans="1:6">
      <c r="A9382" s="9">
        <v>9379</v>
      </c>
      <c r="B9382" s="10" t="s">
        <v>8873</v>
      </c>
      <c r="C9382" s="10" t="s">
        <v>8874</v>
      </c>
      <c r="D9382" s="10" t="s">
        <v>8932</v>
      </c>
      <c r="E9382" s="10" t="str">
        <f>"644020240517160136185591"</f>
        <v>644020240517160136185591</v>
      </c>
      <c r="F9382" s="9"/>
    </row>
    <row r="9383" s="2" customFormat="1" ht="30" customHeight="1" spans="1:6">
      <c r="A9383" s="9">
        <v>9380</v>
      </c>
      <c r="B9383" s="10" t="s">
        <v>8873</v>
      </c>
      <c r="C9383" s="10" t="s">
        <v>8874</v>
      </c>
      <c r="D9383" s="10" t="s">
        <v>8933</v>
      </c>
      <c r="E9383" s="10" t="str">
        <f>"644020240517112608185014"</f>
        <v>644020240517112608185014</v>
      </c>
      <c r="F9383" s="9"/>
    </row>
    <row r="9384" s="2" customFormat="1" ht="30" customHeight="1" spans="1:6">
      <c r="A9384" s="9">
        <v>9381</v>
      </c>
      <c r="B9384" s="10" t="s">
        <v>8873</v>
      </c>
      <c r="C9384" s="10" t="s">
        <v>8874</v>
      </c>
      <c r="D9384" s="10" t="s">
        <v>8934</v>
      </c>
      <c r="E9384" s="10" t="str">
        <f>"644020240517134839185292"</f>
        <v>644020240517134839185292</v>
      </c>
      <c r="F9384" s="9"/>
    </row>
    <row r="9385" s="2" customFormat="1" ht="30" customHeight="1" spans="1:6">
      <c r="A9385" s="9">
        <v>9382</v>
      </c>
      <c r="B9385" s="10" t="s">
        <v>8873</v>
      </c>
      <c r="C9385" s="10" t="s">
        <v>8874</v>
      </c>
      <c r="D9385" s="10" t="s">
        <v>8935</v>
      </c>
      <c r="E9385" s="10" t="str">
        <f>"644020240515184149182109"</f>
        <v>644020240515184149182109</v>
      </c>
      <c r="F9385" s="9"/>
    </row>
    <row r="9386" s="2" customFormat="1" ht="30" customHeight="1" spans="1:6">
      <c r="A9386" s="9">
        <v>9383</v>
      </c>
      <c r="B9386" s="10" t="s">
        <v>8873</v>
      </c>
      <c r="C9386" s="10" t="s">
        <v>8874</v>
      </c>
      <c r="D9386" s="10" t="s">
        <v>8936</v>
      </c>
      <c r="E9386" s="10" t="str">
        <f>"644020240517194532185908"</f>
        <v>644020240517194532185908</v>
      </c>
      <c r="F9386" s="9"/>
    </row>
    <row r="9387" s="2" customFormat="1" ht="30" customHeight="1" spans="1:6">
      <c r="A9387" s="9">
        <v>9384</v>
      </c>
      <c r="B9387" s="10" t="s">
        <v>8873</v>
      </c>
      <c r="C9387" s="10" t="s">
        <v>8874</v>
      </c>
      <c r="D9387" s="10" t="s">
        <v>8937</v>
      </c>
      <c r="E9387" s="10" t="str">
        <f>"644020240516220326184232"</f>
        <v>644020240516220326184232</v>
      </c>
      <c r="F9387" s="9"/>
    </row>
    <row r="9388" s="2" customFormat="1" ht="30" customHeight="1" spans="1:6">
      <c r="A9388" s="9">
        <v>9385</v>
      </c>
      <c r="B9388" s="10" t="s">
        <v>8873</v>
      </c>
      <c r="C9388" s="10" t="s">
        <v>8874</v>
      </c>
      <c r="D9388" s="10" t="s">
        <v>8938</v>
      </c>
      <c r="E9388" s="10" t="str">
        <f>"644020240518001415186169"</f>
        <v>644020240518001415186169</v>
      </c>
      <c r="F9388" s="9"/>
    </row>
    <row r="9389" s="2" customFormat="1" ht="30" customHeight="1" spans="1:6">
      <c r="A9389" s="9">
        <v>9386</v>
      </c>
      <c r="B9389" s="10" t="s">
        <v>8873</v>
      </c>
      <c r="C9389" s="10" t="s">
        <v>8874</v>
      </c>
      <c r="D9389" s="10" t="s">
        <v>8939</v>
      </c>
      <c r="E9389" s="10" t="str">
        <f>"644020240517170411185709"</f>
        <v>644020240517170411185709</v>
      </c>
      <c r="F9389" s="9"/>
    </row>
    <row r="9390" s="2" customFormat="1" ht="30" customHeight="1" spans="1:6">
      <c r="A9390" s="9">
        <v>9387</v>
      </c>
      <c r="B9390" s="10" t="s">
        <v>8873</v>
      </c>
      <c r="C9390" s="10" t="s">
        <v>8874</v>
      </c>
      <c r="D9390" s="10" t="s">
        <v>8940</v>
      </c>
      <c r="E9390" s="10" t="str">
        <f>"644020240516080254182737"</f>
        <v>644020240516080254182737</v>
      </c>
      <c r="F9390" s="9"/>
    </row>
    <row r="9391" s="2" customFormat="1" ht="30" customHeight="1" spans="1:6">
      <c r="A9391" s="9">
        <v>9388</v>
      </c>
      <c r="B9391" s="10" t="s">
        <v>8873</v>
      </c>
      <c r="C9391" s="10" t="s">
        <v>8874</v>
      </c>
      <c r="D9391" s="10" t="s">
        <v>8941</v>
      </c>
      <c r="E9391" s="10" t="str">
        <f>"644020240518090311186450"</f>
        <v>644020240518090311186450</v>
      </c>
      <c r="F9391" s="9"/>
    </row>
    <row r="9392" s="2" customFormat="1" ht="30" customHeight="1" spans="1:6">
      <c r="A9392" s="9">
        <v>9389</v>
      </c>
      <c r="B9392" s="10" t="s">
        <v>8873</v>
      </c>
      <c r="C9392" s="10" t="s">
        <v>8874</v>
      </c>
      <c r="D9392" s="10" t="s">
        <v>8942</v>
      </c>
      <c r="E9392" s="10" t="str">
        <f>"644020240518101249186597"</f>
        <v>644020240518101249186597</v>
      </c>
      <c r="F9392" s="9"/>
    </row>
    <row r="9393" s="2" customFormat="1" ht="30" customHeight="1" spans="1:6">
      <c r="A9393" s="9">
        <v>9390</v>
      </c>
      <c r="B9393" s="10" t="s">
        <v>8873</v>
      </c>
      <c r="C9393" s="10" t="s">
        <v>8874</v>
      </c>
      <c r="D9393" s="10" t="s">
        <v>8943</v>
      </c>
      <c r="E9393" s="10" t="str">
        <f>"644020240518103226186653"</f>
        <v>644020240518103226186653</v>
      </c>
      <c r="F9393" s="9"/>
    </row>
    <row r="9394" s="2" customFormat="1" ht="30" customHeight="1" spans="1:6">
      <c r="A9394" s="9">
        <v>9391</v>
      </c>
      <c r="B9394" s="10" t="s">
        <v>8873</v>
      </c>
      <c r="C9394" s="10" t="s">
        <v>8874</v>
      </c>
      <c r="D9394" s="10" t="s">
        <v>8944</v>
      </c>
      <c r="E9394" s="10" t="str">
        <f>"644020240518003349186198"</f>
        <v>644020240518003349186198</v>
      </c>
      <c r="F9394" s="9"/>
    </row>
    <row r="9395" s="2" customFormat="1" ht="30" customHeight="1" spans="1:6">
      <c r="A9395" s="9">
        <v>9392</v>
      </c>
      <c r="B9395" s="10" t="s">
        <v>8945</v>
      </c>
      <c r="C9395" s="10" t="s">
        <v>8946</v>
      </c>
      <c r="D9395" s="10" t="s">
        <v>8947</v>
      </c>
      <c r="E9395" s="10" t="str">
        <f>"644020240512090757168128"</f>
        <v>644020240512090757168128</v>
      </c>
      <c r="F9395" s="9"/>
    </row>
    <row r="9396" s="2" customFormat="1" ht="30" customHeight="1" spans="1:6">
      <c r="A9396" s="9">
        <v>9393</v>
      </c>
      <c r="B9396" s="10" t="s">
        <v>8945</v>
      </c>
      <c r="C9396" s="10" t="s">
        <v>8946</v>
      </c>
      <c r="D9396" s="10" t="s">
        <v>8948</v>
      </c>
      <c r="E9396" s="10" t="str">
        <f>"644020240512162856169993"</f>
        <v>644020240512162856169993</v>
      </c>
      <c r="F9396" s="9"/>
    </row>
    <row r="9397" s="2" customFormat="1" ht="30" customHeight="1" spans="1:6">
      <c r="A9397" s="9">
        <v>9394</v>
      </c>
      <c r="B9397" s="10" t="s">
        <v>8945</v>
      </c>
      <c r="C9397" s="10" t="s">
        <v>8946</v>
      </c>
      <c r="D9397" s="10" t="s">
        <v>8949</v>
      </c>
      <c r="E9397" s="10" t="str">
        <f>"644020240512090502168110"</f>
        <v>644020240512090502168110</v>
      </c>
      <c r="F9397" s="9"/>
    </row>
    <row r="9398" s="2" customFormat="1" ht="30" customHeight="1" spans="1:6">
      <c r="A9398" s="9">
        <v>9395</v>
      </c>
      <c r="B9398" s="10" t="s">
        <v>8945</v>
      </c>
      <c r="C9398" s="10" t="s">
        <v>8946</v>
      </c>
      <c r="D9398" s="10" t="s">
        <v>8950</v>
      </c>
      <c r="E9398" s="10" t="str">
        <f>"644020240512102300168522"</f>
        <v>644020240512102300168522</v>
      </c>
      <c r="F9398" s="9"/>
    </row>
    <row r="9399" s="2" customFormat="1" ht="30" customHeight="1" spans="1:6">
      <c r="A9399" s="9">
        <v>9396</v>
      </c>
      <c r="B9399" s="10" t="s">
        <v>8945</v>
      </c>
      <c r="C9399" s="10" t="s">
        <v>8946</v>
      </c>
      <c r="D9399" s="10" t="s">
        <v>8951</v>
      </c>
      <c r="E9399" s="10" t="str">
        <f>"644020240512224510171581"</f>
        <v>644020240512224510171581</v>
      </c>
      <c r="F9399" s="9"/>
    </row>
    <row r="9400" s="2" customFormat="1" ht="30" customHeight="1" spans="1:6">
      <c r="A9400" s="9">
        <v>9397</v>
      </c>
      <c r="B9400" s="10" t="s">
        <v>8945</v>
      </c>
      <c r="C9400" s="10" t="s">
        <v>8946</v>
      </c>
      <c r="D9400" s="10" t="s">
        <v>8952</v>
      </c>
      <c r="E9400" s="10" t="str">
        <f>"644020240513082113172256"</f>
        <v>644020240513082113172256</v>
      </c>
      <c r="F9400" s="9"/>
    </row>
    <row r="9401" s="2" customFormat="1" ht="30" customHeight="1" spans="1:6">
      <c r="A9401" s="9">
        <v>9398</v>
      </c>
      <c r="B9401" s="10" t="s">
        <v>8945</v>
      </c>
      <c r="C9401" s="10" t="s">
        <v>8946</v>
      </c>
      <c r="D9401" s="10" t="s">
        <v>8953</v>
      </c>
      <c r="E9401" s="10" t="str">
        <f>"644020240513092013172710"</f>
        <v>644020240513092013172710</v>
      </c>
      <c r="F9401" s="9"/>
    </row>
    <row r="9402" s="2" customFormat="1" ht="30" customHeight="1" spans="1:6">
      <c r="A9402" s="9">
        <v>9399</v>
      </c>
      <c r="B9402" s="10" t="s">
        <v>8945</v>
      </c>
      <c r="C9402" s="10" t="s">
        <v>8946</v>
      </c>
      <c r="D9402" s="10" t="s">
        <v>8954</v>
      </c>
      <c r="E9402" s="10" t="str">
        <f>"644020240512154615169825"</f>
        <v>644020240512154615169825</v>
      </c>
      <c r="F9402" s="9"/>
    </row>
    <row r="9403" s="2" customFormat="1" ht="30" customHeight="1" spans="1:6">
      <c r="A9403" s="9">
        <v>9400</v>
      </c>
      <c r="B9403" s="10" t="s">
        <v>8945</v>
      </c>
      <c r="C9403" s="10" t="s">
        <v>8946</v>
      </c>
      <c r="D9403" s="10" t="s">
        <v>8955</v>
      </c>
      <c r="E9403" s="10" t="str">
        <f>"644020240513082629172275"</f>
        <v>644020240513082629172275</v>
      </c>
      <c r="F9403" s="9"/>
    </row>
    <row r="9404" s="2" customFormat="1" ht="30" customHeight="1" spans="1:6">
      <c r="A9404" s="9">
        <v>9401</v>
      </c>
      <c r="B9404" s="10" t="s">
        <v>8945</v>
      </c>
      <c r="C9404" s="10" t="s">
        <v>8946</v>
      </c>
      <c r="D9404" s="10" t="s">
        <v>8956</v>
      </c>
      <c r="E9404" s="10" t="str">
        <f>"644020240513110413173730"</f>
        <v>644020240513110413173730</v>
      </c>
      <c r="F9404" s="9"/>
    </row>
    <row r="9405" s="2" customFormat="1" ht="30" customHeight="1" spans="1:6">
      <c r="A9405" s="9">
        <v>9402</v>
      </c>
      <c r="B9405" s="10" t="s">
        <v>8945</v>
      </c>
      <c r="C9405" s="10" t="s">
        <v>8946</v>
      </c>
      <c r="D9405" s="10" t="s">
        <v>8957</v>
      </c>
      <c r="E9405" s="10" t="str">
        <f>"644020240513111937173878"</f>
        <v>644020240513111937173878</v>
      </c>
      <c r="F9405" s="9"/>
    </row>
    <row r="9406" s="2" customFormat="1" ht="30" customHeight="1" spans="1:6">
      <c r="A9406" s="9">
        <v>9403</v>
      </c>
      <c r="B9406" s="10" t="s">
        <v>8945</v>
      </c>
      <c r="C9406" s="10" t="s">
        <v>8946</v>
      </c>
      <c r="D9406" s="10" t="s">
        <v>8958</v>
      </c>
      <c r="E9406" s="10" t="str">
        <f>"644020240513101007173208"</f>
        <v>644020240513101007173208</v>
      </c>
      <c r="F9406" s="9"/>
    </row>
    <row r="9407" s="2" customFormat="1" ht="30" customHeight="1" spans="1:6">
      <c r="A9407" s="9">
        <v>9404</v>
      </c>
      <c r="B9407" s="10" t="s">
        <v>8945</v>
      </c>
      <c r="C9407" s="10" t="s">
        <v>8946</v>
      </c>
      <c r="D9407" s="10" t="s">
        <v>4359</v>
      </c>
      <c r="E9407" s="10" t="str">
        <f>"644020240513173017176233"</f>
        <v>644020240513173017176233</v>
      </c>
      <c r="F9407" s="9"/>
    </row>
    <row r="9408" s="2" customFormat="1" ht="30" customHeight="1" spans="1:6">
      <c r="A9408" s="9">
        <v>9405</v>
      </c>
      <c r="B9408" s="10" t="s">
        <v>8945</v>
      </c>
      <c r="C9408" s="10" t="s">
        <v>8946</v>
      </c>
      <c r="D9408" s="10" t="s">
        <v>8959</v>
      </c>
      <c r="E9408" s="10" t="str">
        <f>"644020240513174929176314"</f>
        <v>644020240513174929176314</v>
      </c>
      <c r="F9408" s="9"/>
    </row>
    <row r="9409" s="2" customFormat="1" ht="30" customHeight="1" spans="1:6">
      <c r="A9409" s="9">
        <v>9406</v>
      </c>
      <c r="B9409" s="10" t="s">
        <v>8945</v>
      </c>
      <c r="C9409" s="10" t="s">
        <v>8946</v>
      </c>
      <c r="D9409" s="10" t="s">
        <v>8960</v>
      </c>
      <c r="E9409" s="10" t="str">
        <f>"644020240513174910176309"</f>
        <v>644020240513174910176309</v>
      </c>
      <c r="F9409" s="9"/>
    </row>
    <row r="9410" s="2" customFormat="1" ht="30" customHeight="1" spans="1:6">
      <c r="A9410" s="9">
        <v>9407</v>
      </c>
      <c r="B9410" s="10" t="s">
        <v>8945</v>
      </c>
      <c r="C9410" s="10" t="s">
        <v>8946</v>
      </c>
      <c r="D9410" s="10" t="s">
        <v>8961</v>
      </c>
      <c r="E9410" s="10" t="str">
        <f>"644020240513190249176518"</f>
        <v>644020240513190249176518</v>
      </c>
      <c r="F9410" s="9"/>
    </row>
    <row r="9411" s="2" customFormat="1" ht="30" customHeight="1" spans="1:6">
      <c r="A9411" s="9">
        <v>9408</v>
      </c>
      <c r="B9411" s="10" t="s">
        <v>8945</v>
      </c>
      <c r="C9411" s="10" t="s">
        <v>8946</v>
      </c>
      <c r="D9411" s="10" t="s">
        <v>8962</v>
      </c>
      <c r="E9411" s="10" t="str">
        <f>"644020240514091402178036"</f>
        <v>644020240514091402178036</v>
      </c>
      <c r="F9411" s="9"/>
    </row>
    <row r="9412" s="2" customFormat="1" ht="30" customHeight="1" spans="1:6">
      <c r="A9412" s="9">
        <v>9409</v>
      </c>
      <c r="B9412" s="10" t="s">
        <v>8945</v>
      </c>
      <c r="C9412" s="10" t="s">
        <v>8946</v>
      </c>
      <c r="D9412" s="10" t="s">
        <v>8963</v>
      </c>
      <c r="E9412" s="10" t="str">
        <f>"644020240513133711174697"</f>
        <v>644020240513133711174697</v>
      </c>
      <c r="F9412" s="9"/>
    </row>
    <row r="9413" s="2" customFormat="1" ht="30" customHeight="1" spans="1:6">
      <c r="A9413" s="9">
        <v>9410</v>
      </c>
      <c r="B9413" s="10" t="s">
        <v>8945</v>
      </c>
      <c r="C9413" s="10" t="s">
        <v>8946</v>
      </c>
      <c r="D9413" s="10" t="s">
        <v>2144</v>
      </c>
      <c r="E9413" s="10" t="str">
        <f>"644020240514101756178360"</f>
        <v>644020240514101756178360</v>
      </c>
      <c r="F9413" s="9"/>
    </row>
    <row r="9414" s="2" customFormat="1" ht="30" customHeight="1" spans="1:6">
      <c r="A9414" s="9">
        <v>9411</v>
      </c>
      <c r="B9414" s="10" t="s">
        <v>8945</v>
      </c>
      <c r="C9414" s="10" t="s">
        <v>8946</v>
      </c>
      <c r="D9414" s="10" t="s">
        <v>8964</v>
      </c>
      <c r="E9414" s="10" t="str">
        <f>"644020240514102631178417"</f>
        <v>644020240514102631178417</v>
      </c>
      <c r="F9414" s="9"/>
    </row>
    <row r="9415" s="2" customFormat="1" ht="30" customHeight="1" spans="1:6">
      <c r="A9415" s="9">
        <v>9412</v>
      </c>
      <c r="B9415" s="10" t="s">
        <v>8945</v>
      </c>
      <c r="C9415" s="10" t="s">
        <v>8946</v>
      </c>
      <c r="D9415" s="10" t="s">
        <v>8965</v>
      </c>
      <c r="E9415" s="10" t="str">
        <f>"644020240514125813178949"</f>
        <v>644020240514125813178949</v>
      </c>
      <c r="F9415" s="9"/>
    </row>
    <row r="9416" s="2" customFormat="1" ht="30" customHeight="1" spans="1:6">
      <c r="A9416" s="9">
        <v>9413</v>
      </c>
      <c r="B9416" s="10" t="s">
        <v>8945</v>
      </c>
      <c r="C9416" s="10" t="s">
        <v>8946</v>
      </c>
      <c r="D9416" s="10" t="s">
        <v>8966</v>
      </c>
      <c r="E9416" s="10" t="str">
        <f>"644020240514145201179182"</f>
        <v>644020240514145201179182</v>
      </c>
      <c r="F9416" s="9"/>
    </row>
    <row r="9417" s="2" customFormat="1" ht="30" customHeight="1" spans="1:6">
      <c r="A9417" s="9">
        <v>9414</v>
      </c>
      <c r="B9417" s="10" t="s">
        <v>8945</v>
      </c>
      <c r="C9417" s="10" t="s">
        <v>8946</v>
      </c>
      <c r="D9417" s="10" t="s">
        <v>8967</v>
      </c>
      <c r="E9417" s="10" t="str">
        <f>"644020240513105728173663"</f>
        <v>644020240513105728173663</v>
      </c>
      <c r="F9417" s="9"/>
    </row>
    <row r="9418" s="2" customFormat="1" ht="30" customHeight="1" spans="1:6">
      <c r="A9418" s="9">
        <v>9415</v>
      </c>
      <c r="B9418" s="10" t="s">
        <v>8945</v>
      </c>
      <c r="C9418" s="10" t="s">
        <v>8946</v>
      </c>
      <c r="D9418" s="10" t="s">
        <v>8968</v>
      </c>
      <c r="E9418" s="10" t="str">
        <f>"644020240514170441179624"</f>
        <v>644020240514170441179624</v>
      </c>
      <c r="F9418" s="9"/>
    </row>
    <row r="9419" s="2" customFormat="1" ht="30" customHeight="1" spans="1:6">
      <c r="A9419" s="9">
        <v>9416</v>
      </c>
      <c r="B9419" s="10" t="s">
        <v>8945</v>
      </c>
      <c r="C9419" s="10" t="s">
        <v>8946</v>
      </c>
      <c r="D9419" s="10" t="s">
        <v>8969</v>
      </c>
      <c r="E9419" s="10" t="str">
        <f>"644020240512130106169237"</f>
        <v>644020240512130106169237</v>
      </c>
      <c r="F9419" s="9"/>
    </row>
    <row r="9420" s="2" customFormat="1" ht="30" customHeight="1" spans="1:6">
      <c r="A9420" s="9">
        <v>9417</v>
      </c>
      <c r="B9420" s="10" t="s">
        <v>8945</v>
      </c>
      <c r="C9420" s="10" t="s">
        <v>8946</v>
      </c>
      <c r="D9420" s="10" t="s">
        <v>8970</v>
      </c>
      <c r="E9420" s="10" t="str">
        <f>"644020240513150850175264"</f>
        <v>644020240513150850175264</v>
      </c>
      <c r="F9420" s="9"/>
    </row>
    <row r="9421" s="2" customFormat="1" ht="30" customHeight="1" spans="1:6">
      <c r="A9421" s="9">
        <v>9418</v>
      </c>
      <c r="B9421" s="10" t="s">
        <v>8945</v>
      </c>
      <c r="C9421" s="10" t="s">
        <v>8946</v>
      </c>
      <c r="D9421" s="10" t="s">
        <v>8971</v>
      </c>
      <c r="E9421" s="10" t="str">
        <f>"644020240515153659181713"</f>
        <v>644020240515153659181713</v>
      </c>
      <c r="F9421" s="9"/>
    </row>
    <row r="9422" s="2" customFormat="1" ht="30" customHeight="1" spans="1:6">
      <c r="A9422" s="9">
        <v>9419</v>
      </c>
      <c r="B9422" s="10" t="s">
        <v>8945</v>
      </c>
      <c r="C9422" s="10" t="s">
        <v>8946</v>
      </c>
      <c r="D9422" s="10" t="s">
        <v>8972</v>
      </c>
      <c r="E9422" s="10" t="str">
        <f>"644020240515090856180790"</f>
        <v>644020240515090856180790</v>
      </c>
      <c r="F9422" s="9"/>
    </row>
    <row r="9423" s="2" customFormat="1" ht="30" customHeight="1" spans="1:6">
      <c r="A9423" s="9">
        <v>9420</v>
      </c>
      <c r="B9423" s="10" t="s">
        <v>8945</v>
      </c>
      <c r="C9423" s="10" t="s">
        <v>8946</v>
      </c>
      <c r="D9423" s="10" t="s">
        <v>8973</v>
      </c>
      <c r="E9423" s="10" t="str">
        <f>"644020240516181238183898"</f>
        <v>644020240516181238183898</v>
      </c>
      <c r="F9423" s="9"/>
    </row>
    <row r="9424" s="2" customFormat="1" ht="30" customHeight="1" spans="1:6">
      <c r="A9424" s="9">
        <v>9421</v>
      </c>
      <c r="B9424" s="10" t="s">
        <v>8945</v>
      </c>
      <c r="C9424" s="10" t="s">
        <v>8946</v>
      </c>
      <c r="D9424" s="10" t="s">
        <v>8912</v>
      </c>
      <c r="E9424" s="10" t="str">
        <f>"644020240517094111184766"</f>
        <v>644020240517094111184766</v>
      </c>
      <c r="F9424" s="9"/>
    </row>
    <row r="9425" s="2" customFormat="1" ht="30" customHeight="1" spans="1:6">
      <c r="A9425" s="9">
        <v>9422</v>
      </c>
      <c r="B9425" s="10" t="s">
        <v>8945</v>
      </c>
      <c r="C9425" s="10" t="s">
        <v>8946</v>
      </c>
      <c r="D9425" s="10" t="s">
        <v>1445</v>
      </c>
      <c r="E9425" s="10" t="str">
        <f>"644020240517122902185126"</f>
        <v>644020240517122902185126</v>
      </c>
      <c r="F9425" s="9"/>
    </row>
    <row r="9426" s="2" customFormat="1" ht="30" customHeight="1" spans="1:6">
      <c r="A9426" s="9">
        <v>9423</v>
      </c>
      <c r="B9426" s="10" t="s">
        <v>8945</v>
      </c>
      <c r="C9426" s="10" t="s">
        <v>8946</v>
      </c>
      <c r="D9426" s="10" t="s">
        <v>8974</v>
      </c>
      <c r="E9426" s="10" t="str">
        <f>"644020240516122833183280"</f>
        <v>644020240516122833183280</v>
      </c>
      <c r="F9426" s="9"/>
    </row>
    <row r="9427" s="2" customFormat="1" ht="30" customHeight="1" spans="1:6">
      <c r="A9427" s="9">
        <v>9424</v>
      </c>
      <c r="B9427" s="10" t="s">
        <v>8945</v>
      </c>
      <c r="C9427" s="10" t="s">
        <v>8946</v>
      </c>
      <c r="D9427" s="10" t="s">
        <v>8975</v>
      </c>
      <c r="E9427" s="10" t="str">
        <f>"644020240517152744185499"</f>
        <v>644020240517152744185499</v>
      </c>
      <c r="F9427" s="9"/>
    </row>
    <row r="9428" s="2" customFormat="1" ht="30" customHeight="1" spans="1:6">
      <c r="A9428" s="9">
        <v>9425</v>
      </c>
      <c r="B9428" s="10" t="s">
        <v>8945</v>
      </c>
      <c r="C9428" s="10" t="s">
        <v>8946</v>
      </c>
      <c r="D9428" s="10" t="s">
        <v>8976</v>
      </c>
      <c r="E9428" s="10" t="str">
        <f>"644020240517225616186079"</f>
        <v>644020240517225616186079</v>
      </c>
      <c r="F9428" s="9"/>
    </row>
    <row r="9429" s="2" customFormat="1" ht="30" customHeight="1" spans="1:6">
      <c r="A9429" s="9">
        <v>9426</v>
      </c>
      <c r="B9429" s="10" t="s">
        <v>8977</v>
      </c>
      <c r="C9429" s="10" t="s">
        <v>8978</v>
      </c>
      <c r="D9429" s="10" t="s">
        <v>8979</v>
      </c>
      <c r="E9429" s="10" t="str">
        <f>"644020240512104537168654"</f>
        <v>644020240512104537168654</v>
      </c>
      <c r="F9429" s="9"/>
    </row>
    <row r="9430" s="2" customFormat="1" ht="30" customHeight="1" spans="1:6">
      <c r="A9430" s="9">
        <v>9427</v>
      </c>
      <c r="B9430" s="10" t="s">
        <v>8977</v>
      </c>
      <c r="C9430" s="10" t="s">
        <v>8978</v>
      </c>
      <c r="D9430" s="10" t="s">
        <v>8980</v>
      </c>
      <c r="E9430" s="10" t="str">
        <f>"644020240512103513168594"</f>
        <v>644020240512103513168594</v>
      </c>
      <c r="F9430" s="9"/>
    </row>
    <row r="9431" s="2" customFormat="1" ht="30" customHeight="1" spans="1:6">
      <c r="A9431" s="9">
        <v>9428</v>
      </c>
      <c r="B9431" s="10" t="s">
        <v>8977</v>
      </c>
      <c r="C9431" s="10" t="s">
        <v>8978</v>
      </c>
      <c r="D9431" s="10" t="s">
        <v>8981</v>
      </c>
      <c r="E9431" s="10" t="str">
        <f>"644020240512113022168882"</f>
        <v>644020240512113022168882</v>
      </c>
      <c r="F9431" s="9"/>
    </row>
    <row r="9432" s="2" customFormat="1" ht="30" customHeight="1" spans="1:6">
      <c r="A9432" s="9">
        <v>9429</v>
      </c>
      <c r="B9432" s="10" t="s">
        <v>8977</v>
      </c>
      <c r="C9432" s="10" t="s">
        <v>8978</v>
      </c>
      <c r="D9432" s="10" t="s">
        <v>8982</v>
      </c>
      <c r="E9432" s="10" t="str">
        <f>"644020240512092539168222"</f>
        <v>644020240512092539168222</v>
      </c>
      <c r="F9432" s="9"/>
    </row>
    <row r="9433" s="2" customFormat="1" ht="30" customHeight="1" spans="1:6">
      <c r="A9433" s="9">
        <v>9430</v>
      </c>
      <c r="B9433" s="10" t="s">
        <v>8977</v>
      </c>
      <c r="C9433" s="10" t="s">
        <v>8978</v>
      </c>
      <c r="D9433" s="10" t="s">
        <v>4261</v>
      </c>
      <c r="E9433" s="10" t="str">
        <f>"644020240512210310171006"</f>
        <v>644020240512210310171006</v>
      </c>
      <c r="F9433" s="9"/>
    </row>
    <row r="9434" s="2" customFormat="1" ht="30" customHeight="1" spans="1:6">
      <c r="A9434" s="9">
        <v>9431</v>
      </c>
      <c r="B9434" s="10" t="s">
        <v>8977</v>
      </c>
      <c r="C9434" s="10" t="s">
        <v>8978</v>
      </c>
      <c r="D9434" s="10" t="s">
        <v>8983</v>
      </c>
      <c r="E9434" s="10" t="str">
        <f>"644020240512231432171752"</f>
        <v>644020240512231432171752</v>
      </c>
      <c r="F9434" s="9"/>
    </row>
    <row r="9435" s="2" customFormat="1" ht="30" customHeight="1" spans="1:6">
      <c r="A9435" s="9">
        <v>9432</v>
      </c>
      <c r="B9435" s="10" t="s">
        <v>8977</v>
      </c>
      <c r="C9435" s="10" t="s">
        <v>8978</v>
      </c>
      <c r="D9435" s="10" t="s">
        <v>8984</v>
      </c>
      <c r="E9435" s="10" t="str">
        <f>"644020240513000546171940"</f>
        <v>644020240513000546171940</v>
      </c>
      <c r="F9435" s="9"/>
    </row>
    <row r="9436" s="2" customFormat="1" ht="30" customHeight="1" spans="1:6">
      <c r="A9436" s="9">
        <v>9433</v>
      </c>
      <c r="B9436" s="10" t="s">
        <v>8977</v>
      </c>
      <c r="C9436" s="10" t="s">
        <v>8978</v>
      </c>
      <c r="D9436" s="10" t="s">
        <v>8985</v>
      </c>
      <c r="E9436" s="10" t="str">
        <f>"644020240512231001171729"</f>
        <v>644020240512231001171729</v>
      </c>
      <c r="F9436" s="9"/>
    </row>
    <row r="9437" s="2" customFormat="1" ht="30" customHeight="1" spans="1:6">
      <c r="A9437" s="9">
        <v>9434</v>
      </c>
      <c r="B9437" s="10" t="s">
        <v>8977</v>
      </c>
      <c r="C9437" s="10" t="s">
        <v>8978</v>
      </c>
      <c r="D9437" s="10" t="s">
        <v>8986</v>
      </c>
      <c r="E9437" s="10" t="str">
        <f>"644020240512103613168601"</f>
        <v>644020240512103613168601</v>
      </c>
      <c r="F9437" s="9"/>
    </row>
    <row r="9438" s="2" customFormat="1" ht="30" customHeight="1" spans="1:6">
      <c r="A9438" s="9">
        <v>9435</v>
      </c>
      <c r="B9438" s="10" t="s">
        <v>8977</v>
      </c>
      <c r="C9438" s="10" t="s">
        <v>8978</v>
      </c>
      <c r="D9438" s="10" t="s">
        <v>8987</v>
      </c>
      <c r="E9438" s="10" t="str">
        <f>"644020240513104621173569"</f>
        <v>644020240513104621173569</v>
      </c>
      <c r="F9438" s="9"/>
    </row>
    <row r="9439" s="2" customFormat="1" ht="30" customHeight="1" spans="1:6">
      <c r="A9439" s="9">
        <v>9436</v>
      </c>
      <c r="B9439" s="10" t="s">
        <v>8977</v>
      </c>
      <c r="C9439" s="10" t="s">
        <v>8978</v>
      </c>
      <c r="D9439" s="10" t="s">
        <v>8988</v>
      </c>
      <c r="E9439" s="10" t="str">
        <f>"644020240513091553172648"</f>
        <v>644020240513091553172648</v>
      </c>
      <c r="F9439" s="9"/>
    </row>
    <row r="9440" s="2" customFormat="1" ht="30" customHeight="1" spans="1:6">
      <c r="A9440" s="9">
        <v>9437</v>
      </c>
      <c r="B9440" s="10" t="s">
        <v>8977</v>
      </c>
      <c r="C9440" s="10" t="s">
        <v>8978</v>
      </c>
      <c r="D9440" s="10" t="s">
        <v>8989</v>
      </c>
      <c r="E9440" s="10" t="str">
        <f>"644020240513153709175535"</f>
        <v>644020240513153709175535</v>
      </c>
      <c r="F9440" s="9"/>
    </row>
    <row r="9441" s="2" customFormat="1" ht="30" customHeight="1" spans="1:6">
      <c r="A9441" s="9">
        <v>9438</v>
      </c>
      <c r="B9441" s="10" t="s">
        <v>8977</v>
      </c>
      <c r="C9441" s="10" t="s">
        <v>8978</v>
      </c>
      <c r="D9441" s="10" t="s">
        <v>8990</v>
      </c>
      <c r="E9441" s="10" t="str">
        <f>"644020240513181901176396"</f>
        <v>644020240513181901176396</v>
      </c>
      <c r="F9441" s="9"/>
    </row>
    <row r="9442" s="2" customFormat="1" ht="30" customHeight="1" spans="1:6">
      <c r="A9442" s="9">
        <v>9439</v>
      </c>
      <c r="B9442" s="10" t="s">
        <v>8977</v>
      </c>
      <c r="C9442" s="10" t="s">
        <v>8978</v>
      </c>
      <c r="D9442" s="10" t="s">
        <v>8991</v>
      </c>
      <c r="E9442" s="10" t="str">
        <f>"644020240512230032171678"</f>
        <v>644020240512230032171678</v>
      </c>
      <c r="F9442" s="9"/>
    </row>
    <row r="9443" s="2" customFormat="1" ht="30" customHeight="1" spans="1:6">
      <c r="A9443" s="9">
        <v>9440</v>
      </c>
      <c r="B9443" s="10" t="s">
        <v>8977</v>
      </c>
      <c r="C9443" s="10" t="s">
        <v>8978</v>
      </c>
      <c r="D9443" s="10" t="s">
        <v>1279</v>
      </c>
      <c r="E9443" s="10" t="str">
        <f>"644020240513204830176911"</f>
        <v>644020240513204830176911</v>
      </c>
      <c r="F9443" s="9"/>
    </row>
    <row r="9444" s="2" customFormat="1" ht="30" customHeight="1" spans="1:6">
      <c r="A9444" s="9">
        <v>9441</v>
      </c>
      <c r="B9444" s="10" t="s">
        <v>8977</v>
      </c>
      <c r="C9444" s="10" t="s">
        <v>8978</v>
      </c>
      <c r="D9444" s="10" t="s">
        <v>8992</v>
      </c>
      <c r="E9444" s="10" t="str">
        <f>"644020240513093948172909"</f>
        <v>644020240513093948172909</v>
      </c>
      <c r="F9444" s="9"/>
    </row>
    <row r="9445" s="2" customFormat="1" ht="30" customHeight="1" spans="1:6">
      <c r="A9445" s="9">
        <v>9442</v>
      </c>
      <c r="B9445" s="10" t="s">
        <v>8977</v>
      </c>
      <c r="C9445" s="10" t="s">
        <v>8978</v>
      </c>
      <c r="D9445" s="10" t="s">
        <v>8993</v>
      </c>
      <c r="E9445" s="10" t="str">
        <f>"644020240514185846179882"</f>
        <v>644020240514185846179882</v>
      </c>
      <c r="F9445" s="9"/>
    </row>
    <row r="9446" s="2" customFormat="1" ht="30" customHeight="1" spans="1:6">
      <c r="A9446" s="9">
        <v>9443</v>
      </c>
      <c r="B9446" s="10" t="s">
        <v>8977</v>
      </c>
      <c r="C9446" s="10" t="s">
        <v>8978</v>
      </c>
      <c r="D9446" s="10" t="s">
        <v>8994</v>
      </c>
      <c r="E9446" s="10" t="str">
        <f>"644020240514211545180158"</f>
        <v>644020240514211545180158</v>
      </c>
      <c r="F9446" s="9"/>
    </row>
    <row r="9447" s="2" customFormat="1" ht="30" customHeight="1" spans="1:6">
      <c r="A9447" s="9">
        <v>9444</v>
      </c>
      <c r="B9447" s="10" t="s">
        <v>8977</v>
      </c>
      <c r="C9447" s="10" t="s">
        <v>8978</v>
      </c>
      <c r="D9447" s="10" t="s">
        <v>8995</v>
      </c>
      <c r="E9447" s="10" t="str">
        <f>"644020240515001702180586"</f>
        <v>644020240515001702180586</v>
      </c>
      <c r="F9447" s="9"/>
    </row>
    <row r="9448" s="2" customFormat="1" ht="30" customHeight="1" spans="1:6">
      <c r="A9448" s="9">
        <v>9445</v>
      </c>
      <c r="B9448" s="10" t="s">
        <v>8977</v>
      </c>
      <c r="C9448" s="10" t="s">
        <v>8978</v>
      </c>
      <c r="D9448" s="10" t="s">
        <v>8996</v>
      </c>
      <c r="E9448" s="10" t="str">
        <f>"644020240515034329180630"</f>
        <v>644020240515034329180630</v>
      </c>
      <c r="F9448" s="9"/>
    </row>
    <row r="9449" s="2" customFormat="1" ht="30" customHeight="1" spans="1:6">
      <c r="A9449" s="9">
        <v>9446</v>
      </c>
      <c r="B9449" s="10" t="s">
        <v>8977</v>
      </c>
      <c r="C9449" s="10" t="s">
        <v>8978</v>
      </c>
      <c r="D9449" s="10" t="s">
        <v>8997</v>
      </c>
      <c r="E9449" s="10" t="str">
        <f>"644020240515085649180755"</f>
        <v>644020240515085649180755</v>
      </c>
      <c r="F9449" s="9"/>
    </row>
    <row r="9450" s="2" customFormat="1" ht="30" customHeight="1" spans="1:6">
      <c r="A9450" s="9">
        <v>9447</v>
      </c>
      <c r="B9450" s="10" t="s">
        <v>8977</v>
      </c>
      <c r="C9450" s="10" t="s">
        <v>8978</v>
      </c>
      <c r="D9450" s="10" t="s">
        <v>8998</v>
      </c>
      <c r="E9450" s="10" t="str">
        <f>"644020240515173640182015"</f>
        <v>644020240515173640182015</v>
      </c>
      <c r="F9450" s="9"/>
    </row>
    <row r="9451" s="2" customFormat="1" ht="30" customHeight="1" spans="1:6">
      <c r="A9451" s="9">
        <v>9448</v>
      </c>
      <c r="B9451" s="10" t="s">
        <v>8977</v>
      </c>
      <c r="C9451" s="10" t="s">
        <v>8978</v>
      </c>
      <c r="D9451" s="10" t="s">
        <v>8999</v>
      </c>
      <c r="E9451" s="10" t="str">
        <f>"644020240515195637182210"</f>
        <v>644020240515195637182210</v>
      </c>
      <c r="F9451" s="9"/>
    </row>
    <row r="9452" s="2" customFormat="1" ht="30" customHeight="1" spans="1:6">
      <c r="A9452" s="9">
        <v>9449</v>
      </c>
      <c r="B9452" s="10" t="s">
        <v>8977</v>
      </c>
      <c r="C9452" s="10" t="s">
        <v>8978</v>
      </c>
      <c r="D9452" s="10" t="s">
        <v>9000</v>
      </c>
      <c r="E9452" s="10" t="str">
        <f>"644020240515221640182384"</f>
        <v>644020240515221640182384</v>
      </c>
      <c r="F9452" s="9"/>
    </row>
    <row r="9453" s="2" customFormat="1" ht="30" customHeight="1" spans="1:6">
      <c r="A9453" s="9">
        <v>9450</v>
      </c>
      <c r="B9453" s="10" t="s">
        <v>8977</v>
      </c>
      <c r="C9453" s="10" t="s">
        <v>8978</v>
      </c>
      <c r="D9453" s="10" t="s">
        <v>9001</v>
      </c>
      <c r="E9453" s="10" t="str">
        <f>"644020240516160906183637"</f>
        <v>644020240516160906183637</v>
      </c>
      <c r="F9453" s="9"/>
    </row>
    <row r="9454" s="2" customFormat="1" ht="30" customHeight="1" spans="1:6">
      <c r="A9454" s="9">
        <v>9451</v>
      </c>
      <c r="B9454" s="10" t="s">
        <v>8977</v>
      </c>
      <c r="C9454" s="10" t="s">
        <v>8978</v>
      </c>
      <c r="D9454" s="10" t="s">
        <v>9002</v>
      </c>
      <c r="E9454" s="10" t="str">
        <f>"644020240516163142183696"</f>
        <v>644020240516163142183696</v>
      </c>
      <c r="F9454" s="9"/>
    </row>
    <row r="9455" s="2" customFormat="1" ht="30" customHeight="1" spans="1:6">
      <c r="A9455" s="9">
        <v>9452</v>
      </c>
      <c r="B9455" s="10" t="s">
        <v>8977</v>
      </c>
      <c r="C9455" s="10" t="s">
        <v>8978</v>
      </c>
      <c r="D9455" s="10" t="s">
        <v>9003</v>
      </c>
      <c r="E9455" s="10" t="str">
        <f>"644020240516162753183691"</f>
        <v>644020240516162753183691</v>
      </c>
      <c r="F9455" s="9"/>
    </row>
    <row r="9456" s="2" customFormat="1" ht="30" customHeight="1" spans="1:6">
      <c r="A9456" s="9">
        <v>9453</v>
      </c>
      <c r="B9456" s="10" t="s">
        <v>8977</v>
      </c>
      <c r="C9456" s="10" t="s">
        <v>8978</v>
      </c>
      <c r="D9456" s="10" t="s">
        <v>9004</v>
      </c>
      <c r="E9456" s="10" t="str">
        <f>"644020240515150820181636"</f>
        <v>644020240515150820181636</v>
      </c>
      <c r="F9456" s="9"/>
    </row>
    <row r="9457" s="3" customFormat="1" ht="30" customHeight="1" spans="1:6">
      <c r="A9457" s="9">
        <v>9454</v>
      </c>
      <c r="B9457" s="10" t="s">
        <v>8977</v>
      </c>
      <c r="C9457" s="10" t="s">
        <v>8978</v>
      </c>
      <c r="D9457" s="10" t="s">
        <v>6885</v>
      </c>
      <c r="E9457" s="10" t="str">
        <f>"644020240516065116182716"</f>
        <v>644020240516065116182716</v>
      </c>
      <c r="F9457" s="9"/>
    </row>
    <row r="9458" s="3" customFormat="1" ht="30" customHeight="1" spans="1:6">
      <c r="A9458" s="9">
        <v>9455</v>
      </c>
      <c r="B9458" s="10" t="s">
        <v>8977</v>
      </c>
      <c r="C9458" s="10" t="s">
        <v>8978</v>
      </c>
      <c r="D9458" s="10" t="s">
        <v>9005</v>
      </c>
      <c r="E9458" s="10" t="str">
        <f>"644020240517071746184572"</f>
        <v>644020240517071746184572</v>
      </c>
      <c r="F9458" s="9"/>
    </row>
    <row r="9459" s="3" customFormat="1" ht="30" customHeight="1" spans="1:6">
      <c r="A9459" s="9">
        <v>9456</v>
      </c>
      <c r="B9459" s="10" t="s">
        <v>8977</v>
      </c>
      <c r="C9459" s="10" t="s">
        <v>8978</v>
      </c>
      <c r="D9459" s="10" t="s">
        <v>9006</v>
      </c>
      <c r="E9459" s="10" t="str">
        <f>"644020240517175706185789"</f>
        <v>644020240517175706185789</v>
      </c>
      <c r="F9459" s="9"/>
    </row>
    <row r="9460" s="3" customFormat="1" ht="30" customHeight="1" spans="1:6">
      <c r="A9460" s="9">
        <v>9457</v>
      </c>
      <c r="B9460" s="10" t="s">
        <v>8977</v>
      </c>
      <c r="C9460" s="10" t="s">
        <v>8978</v>
      </c>
      <c r="D9460" s="10" t="s">
        <v>9007</v>
      </c>
      <c r="E9460" s="10" t="str">
        <f>"644020240517105000184927"</f>
        <v>644020240517105000184927</v>
      </c>
      <c r="F9460" s="9"/>
    </row>
  </sheetData>
  <sortState ref="A3:H458">
    <sortCondition ref="C3"/>
  </sortState>
  <mergeCells count="1">
    <mergeCell ref="A2:F2"/>
  </mergeCells>
  <pageMargins left="0.700694444444445" right="0.700694444444445" top="0.751388888888889" bottom="0.751388888888889" header="0.298611111111111" footer="0.298611111111111"/>
  <pageSetup paperSize="9" scale="6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YC</cp:lastModifiedBy>
  <dcterms:created xsi:type="dcterms:W3CDTF">2021-01-10T22:20:00Z</dcterms:created>
  <dcterms:modified xsi:type="dcterms:W3CDTF">2024-05-24T08:39:20Z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2052-11.8.2.8411</vt:lpwstr>
  </property>
  <property fmtid="{D5CDD505-2E9C-101B-9397-08002B2CF9AE}" pid="5" name="ICV">
    <vt:lpwstr>018AD92178C8483EBC9E708F608E6C19_13</vt:lpwstr>
  </property>
</Properties>
</file>