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6" activeTab="9"/>
  </bookViews>
  <sheets>
    <sheet name="办公室-综合管理岗（高新）" sheetId="25" r:id="rId1"/>
    <sheet name="党群部-宣传岗（高新）" sheetId="26" r:id="rId2"/>
    <sheet name="党群部-综合管理岗（高新）" sheetId="27" r:id="rId3"/>
    <sheet name="纪工委-综合管理岗（高新）" sheetId="18" r:id="rId4"/>
    <sheet name="社事局-劳动协调岗（高新）" sheetId="19" r:id="rId5"/>
    <sheet name="社事局-土地流转岗（高新）" sheetId="20" r:id="rId6"/>
    <sheet name="审批局-企业（工程）服务岗（高新） " sheetId="22" r:id="rId7"/>
    <sheet name="审批局-企业（经济）服务岗（高新）" sheetId="21" r:id="rId8"/>
    <sheet name="生态环境分局-综合管理岗" sheetId="23" r:id="rId9"/>
    <sheet name="投促局-招商引资岗（高新）" sheetId="24" r:id="rId10"/>
  </sheets>
  <definedNames>
    <definedName name="_xlnm._FilterDatabase" localSheetId="0" hidden="1">'办公室-综合管理岗（高新）'!$A$3:$L$13</definedName>
    <definedName name="_xlnm._FilterDatabase" localSheetId="1" hidden="1">'党群部-宣传岗（高新）'!$A$3:$L$37</definedName>
    <definedName name="_xlnm._FilterDatabase" localSheetId="2" hidden="1">'党群部-综合管理岗（高新）'!$A$3:$L$105</definedName>
    <definedName name="_xlnm._FilterDatabase" localSheetId="3" hidden="1">'纪工委-综合管理岗（高新）'!$A$3:$L$20</definedName>
    <definedName name="_xlnm._FilterDatabase" localSheetId="4" hidden="1">'社事局-劳动协调岗（高新）'!$A$3:$L$4</definedName>
    <definedName name="_xlnm._FilterDatabase" localSheetId="5" hidden="1">'社事局-土地流转岗（高新）'!$A$3:$L$9</definedName>
    <definedName name="_xlnm._FilterDatabase" localSheetId="6" hidden="1">'审批局-企业（工程）服务岗（高新） '!$A$3:$L$50</definedName>
    <definedName name="_xlnm._FilterDatabase" localSheetId="7" hidden="1">'审批局-企业（经济）服务岗（高新）'!$A$3:$L$41</definedName>
    <definedName name="_xlnm._FilterDatabase" localSheetId="8" hidden="1">'生态环境分局-综合管理岗'!$A$3:$L$36</definedName>
    <definedName name="_xlnm._FilterDatabase" localSheetId="9" hidden="1">'投促局-招商引资岗（高新）'!$A$3:$L$31</definedName>
    <definedName name="_xlnm.Print_Titles" localSheetId="0">'办公室-综合管理岗（高新）'!$1:$2</definedName>
    <definedName name="_xlnm.Print_Titles" localSheetId="1">'党群部-宣传岗（高新）'!$1:$2</definedName>
    <definedName name="_xlnm.Print_Titles" localSheetId="2">'党群部-综合管理岗（高新）'!$1:$2</definedName>
    <definedName name="_xlnm.Print_Titles" localSheetId="3">'纪工委-综合管理岗（高新）'!$1:$2</definedName>
    <definedName name="_xlnm.Print_Titles" localSheetId="4">'社事局-劳动协调岗（高新）'!$1:$2</definedName>
    <definedName name="_xlnm.Print_Titles" localSheetId="5">'社事局-土地流转岗（高新）'!$1:$2</definedName>
    <definedName name="_xlnm.Print_Titles" localSheetId="6">'审批局-企业（工程）服务岗（高新） '!$1:$2</definedName>
    <definedName name="_xlnm.Print_Titles" localSheetId="7">'审批局-企业（经济）服务岗（高新）'!$1:$2</definedName>
    <definedName name="_xlnm.Print_Titles" localSheetId="8">'生态环境分局-综合管理岗'!$1:$2</definedName>
    <definedName name="_xlnm.Print_Titles" localSheetId="9">'投促局-招商引资岗（高新）'!$1:$2</definedName>
  </definedNames>
  <calcPr calcId="144525"/>
</workbook>
</file>

<file path=xl/sharedStrings.xml><?xml version="1.0" encoding="utf-8"?>
<sst xmlns="http://schemas.openxmlformats.org/spreadsheetml/2006/main" count="1000" uniqueCount="378">
  <si>
    <t>资阳发展苌睿人力资源服务有限公司
关于公开招聘资阳高新技术产业园区管理委员会
劳务派遣人员笔试成绩及面试名单</t>
  </si>
  <si>
    <t>序号</t>
  </si>
  <si>
    <t>姓名</t>
  </si>
  <si>
    <t>身份证号码</t>
  </si>
  <si>
    <t>应聘岗位</t>
  </si>
  <si>
    <t>准考证号</t>
  </si>
  <si>
    <t>考场号</t>
  </si>
  <si>
    <t>座位号</t>
  </si>
  <si>
    <t>客观题</t>
  </si>
  <si>
    <t>主观题</t>
  </si>
  <si>
    <t>笔试成绩</t>
  </si>
  <si>
    <t>排名</t>
  </si>
  <si>
    <t>是否进入资格复审</t>
  </si>
  <si>
    <t>510503********1145</t>
  </si>
  <si>
    <t>是</t>
  </si>
  <si>
    <t>511523********3582</t>
  </si>
  <si>
    <t>513901********3341</t>
  </si>
  <si>
    <t>510623********7783</t>
  </si>
  <si>
    <t>513901********4849</t>
  </si>
  <si>
    <t>510722********905X</t>
  </si>
  <si>
    <t>缺考</t>
  </si>
  <si>
    <t>否</t>
  </si>
  <si>
    <t>511621********4568</t>
  </si>
  <si>
    <t>513922********4404</t>
  </si>
  <si>
    <t>513922********6441</t>
  </si>
  <si>
    <t>510923********174X</t>
  </si>
  <si>
    <t>511002********3929</t>
  </si>
  <si>
    <t>513901********0021</t>
  </si>
  <si>
    <t>513901********0243</t>
  </si>
  <si>
    <t>510181********1940</t>
  </si>
  <si>
    <t>513901********3919</t>
  </si>
  <si>
    <t>500226********0766</t>
  </si>
  <si>
    <t>513922********0014</t>
  </si>
  <si>
    <t>513901********7028</t>
  </si>
  <si>
    <t>513901********532X</t>
  </si>
  <si>
    <t>513901********0264</t>
  </si>
  <si>
    <t>511023********0374</t>
  </si>
  <si>
    <t>513901********062X</t>
  </si>
  <si>
    <t>513901********5328</t>
  </si>
  <si>
    <t>513901********5349</t>
  </si>
  <si>
    <t>513901********022X</t>
  </si>
  <si>
    <t>513901********0222</t>
  </si>
  <si>
    <t>513901********0026</t>
  </si>
  <si>
    <t>500242********528X</t>
  </si>
  <si>
    <t>500237********0028</t>
  </si>
  <si>
    <t>513901********7010</t>
  </si>
  <si>
    <t>500231********4915</t>
  </si>
  <si>
    <t>513902********4081</t>
  </si>
  <si>
    <t>510421********6512</t>
  </si>
  <si>
    <t>511181********1915</t>
  </si>
  <si>
    <t>513902********9263</t>
  </si>
  <si>
    <t>512002********0215</t>
  </si>
  <si>
    <t>513901********4520</t>
  </si>
  <si>
    <t>513723********2074</t>
  </si>
  <si>
    <t>511621********2674</t>
  </si>
  <si>
    <t>500223********8868</t>
  </si>
  <si>
    <t>513901********0415</t>
  </si>
  <si>
    <t>513029********0046</t>
  </si>
  <si>
    <t>513901********1824</t>
  </si>
  <si>
    <t>513021********8582</t>
  </si>
  <si>
    <t>513901********0220</t>
  </si>
  <si>
    <t>510623********3721</t>
  </si>
  <si>
    <t>500383********2263</t>
  </si>
  <si>
    <t>513921********5422</t>
  </si>
  <si>
    <t>513922********2007</t>
  </si>
  <si>
    <t>513922********2956</t>
  </si>
  <si>
    <t>513030********2417</t>
  </si>
  <si>
    <t>513901********4523</t>
  </si>
  <si>
    <t>513721********4201</t>
  </si>
  <si>
    <t>511025********2194</t>
  </si>
  <si>
    <t>511621********2907</t>
  </si>
  <si>
    <t>511602********5791</t>
  </si>
  <si>
    <t>513901********0746</t>
  </si>
  <si>
    <t>513902********5578</t>
  </si>
  <si>
    <t>513901********061X</t>
  </si>
  <si>
    <t>513901********3353</t>
  </si>
  <si>
    <t>530624********1941</t>
  </si>
  <si>
    <t>513901********1043</t>
  </si>
  <si>
    <t>511681********0524</t>
  </si>
  <si>
    <t>513920********077X</t>
  </si>
  <si>
    <t>513901********302X</t>
  </si>
  <si>
    <t>511023********3985</t>
  </si>
  <si>
    <t>511602********4067</t>
  </si>
  <si>
    <t>513901********6637</t>
  </si>
  <si>
    <t>513901********0645</t>
  </si>
  <si>
    <t>511028********3262</t>
  </si>
  <si>
    <t>512002********1023</t>
  </si>
  <si>
    <t>513901********5222</t>
  </si>
  <si>
    <t>511324********4752</t>
  </si>
  <si>
    <t>513901********0422</t>
  </si>
  <si>
    <t>513901********3313</t>
  </si>
  <si>
    <t>513901********0727</t>
  </si>
  <si>
    <t>513901********5320</t>
  </si>
  <si>
    <t>511024********5720</t>
  </si>
  <si>
    <t>513901********1023</t>
  </si>
  <si>
    <t>511521********8221</t>
  </si>
  <si>
    <t>520114********042X</t>
  </si>
  <si>
    <t>513022********0019</t>
  </si>
  <si>
    <t>513901********7041</t>
  </si>
  <si>
    <t>513901********3566</t>
  </si>
  <si>
    <t>510812********1520</t>
  </si>
  <si>
    <t>513901********552X</t>
  </si>
  <si>
    <t>500243********2122</t>
  </si>
  <si>
    <t>513901********0417</t>
  </si>
  <si>
    <t>500253********7705</t>
  </si>
  <si>
    <t>513902********7708</t>
  </si>
  <si>
    <t>511528********068X</t>
  </si>
  <si>
    <t>513901********2325</t>
  </si>
  <si>
    <t>513901********4567</t>
  </si>
  <si>
    <t>510902********2222</t>
  </si>
  <si>
    <t>511922********2114</t>
  </si>
  <si>
    <t>513901********0227</t>
  </si>
  <si>
    <t>513922********4949</t>
  </si>
  <si>
    <t>513901********0648</t>
  </si>
  <si>
    <t>510821********132X</t>
  </si>
  <si>
    <t>513901********0022</t>
  </si>
  <si>
    <t>513901********0647</t>
  </si>
  <si>
    <t>511028********1828</t>
  </si>
  <si>
    <t>513901********0226</t>
  </si>
  <si>
    <t>513901********0724</t>
  </si>
  <si>
    <t>513901********0224</t>
  </si>
  <si>
    <t>513902********4446</t>
  </si>
  <si>
    <t>513901********1423</t>
  </si>
  <si>
    <t>510521********3834</t>
  </si>
  <si>
    <t>510311********4513</t>
  </si>
  <si>
    <t>511023********2074</t>
  </si>
  <si>
    <t>513825********3221</t>
  </si>
  <si>
    <t>510722********540X</t>
  </si>
  <si>
    <t>513822********184X</t>
  </si>
  <si>
    <t>500232********3559</t>
  </si>
  <si>
    <t>500223********2526</t>
  </si>
  <si>
    <t>513434********4565</t>
  </si>
  <si>
    <t>513826********6149</t>
  </si>
  <si>
    <t>513901********4829</t>
  </si>
  <si>
    <t>510525********514X</t>
  </si>
  <si>
    <t>513901********482X</t>
  </si>
  <si>
    <t>510922********0166</t>
  </si>
  <si>
    <t>511621********4087</t>
  </si>
  <si>
    <t>513002********9814</t>
  </si>
  <si>
    <t>511527********4015</t>
  </si>
  <si>
    <t>500229********3575</t>
  </si>
  <si>
    <t>513901********4125</t>
  </si>
  <si>
    <t>513902********4643</t>
  </si>
  <si>
    <t>513433********4518</t>
  </si>
  <si>
    <t>500237********6826</t>
  </si>
  <si>
    <t>513901********6420</t>
  </si>
  <si>
    <t>513921********4529</t>
  </si>
  <si>
    <t>513901********0620</t>
  </si>
  <si>
    <t>510703********0219</t>
  </si>
  <si>
    <t>510402********0949</t>
  </si>
  <si>
    <t>530381********0092</t>
  </si>
  <si>
    <t>511002********0610</t>
  </si>
  <si>
    <t>513030********0712</t>
  </si>
  <si>
    <t>513902********8728</t>
  </si>
  <si>
    <t>513901********7129</t>
  </si>
  <si>
    <t>513922********6436</t>
  </si>
  <si>
    <t>513901********1820</t>
  </si>
  <si>
    <t>513901********1046</t>
  </si>
  <si>
    <t>511721********2027</t>
  </si>
  <si>
    <t>410182********0722</t>
  </si>
  <si>
    <t>513901********0249</t>
  </si>
  <si>
    <t>511025********8068</t>
  </si>
  <si>
    <t>513002********2586</t>
  </si>
  <si>
    <t>513901********5252</t>
  </si>
  <si>
    <t>513901********5323</t>
  </si>
  <si>
    <t>513901********1416</t>
  </si>
  <si>
    <t>513901********3965</t>
  </si>
  <si>
    <t>513901********0623</t>
  </si>
  <si>
    <t>511023********8664</t>
  </si>
  <si>
    <t>511025********4883</t>
  </si>
  <si>
    <t>532122********2621</t>
  </si>
  <si>
    <t>512002********0040</t>
  </si>
  <si>
    <t>510521********8124</t>
  </si>
  <si>
    <t>510504********0319</t>
  </si>
  <si>
    <t>510521********7983</t>
  </si>
  <si>
    <t>513723********1246</t>
  </si>
  <si>
    <t>522401********1512</t>
  </si>
  <si>
    <t>511002********6016</t>
  </si>
  <si>
    <t>511722********5266</t>
  </si>
  <si>
    <t>513901********4848</t>
  </si>
  <si>
    <t>510322********0043</t>
  </si>
  <si>
    <t>142325********1515</t>
  </si>
  <si>
    <t>511522********0047</t>
  </si>
  <si>
    <t>513821********7466</t>
  </si>
  <si>
    <t>513910********1824</t>
  </si>
  <si>
    <t>513901********1029</t>
  </si>
  <si>
    <t>513901********2330</t>
  </si>
  <si>
    <t>513902********3146</t>
  </si>
  <si>
    <t>510525********8852</t>
  </si>
  <si>
    <t>513902********7825</t>
  </si>
  <si>
    <t>511325********4122</t>
  </si>
  <si>
    <t>511023********9579</t>
  </si>
  <si>
    <t>513901********531X</t>
  </si>
  <si>
    <t>513022********3085</t>
  </si>
  <si>
    <t>513901********0024</t>
  </si>
  <si>
    <t>511023********0460</t>
  </si>
  <si>
    <t>512002********6426</t>
  </si>
  <si>
    <t>513227********3834</t>
  </si>
  <si>
    <t>510821********681X</t>
  </si>
  <si>
    <t>513326********001X</t>
  </si>
  <si>
    <t>曾文</t>
  </si>
  <si>
    <t>511025********7871</t>
  </si>
  <si>
    <t>202408240324</t>
  </si>
  <si>
    <t>511181********6322</t>
  </si>
  <si>
    <t>513901********2334</t>
  </si>
  <si>
    <t>513901********0643</t>
  </si>
  <si>
    <t>511028********0064</t>
  </si>
  <si>
    <t>513901********521X</t>
  </si>
  <si>
    <t>513901********0012</t>
  </si>
  <si>
    <t>500107********1239</t>
  </si>
  <si>
    <t>李勇军</t>
  </si>
  <si>
    <t>513901********3316</t>
  </si>
  <si>
    <t>202408240336</t>
  </si>
  <si>
    <t>郑晓霞</t>
  </si>
  <si>
    <t>511721********150X</t>
  </si>
  <si>
    <t>202408240235</t>
  </si>
  <si>
    <t>513901********0416</t>
  </si>
  <si>
    <t>林朗</t>
  </si>
  <si>
    <t>513901********0213</t>
  </si>
  <si>
    <t>202408240232</t>
  </si>
  <si>
    <t>510922********3627</t>
  </si>
  <si>
    <t>513821********5153</t>
  </si>
  <si>
    <t>430821********5619</t>
  </si>
  <si>
    <t>510722********161X</t>
  </si>
  <si>
    <t>513921********7718</t>
  </si>
  <si>
    <t>510802********4827</t>
  </si>
  <si>
    <t>513901********1811</t>
  </si>
  <si>
    <t>500226********0310</t>
  </si>
  <si>
    <t>632801********2412</t>
  </si>
  <si>
    <t>511602********5414</t>
  </si>
  <si>
    <t>220822********735X</t>
  </si>
  <si>
    <t>511028********322X</t>
  </si>
  <si>
    <t>513021********8878</t>
  </si>
  <si>
    <t>510522********8643</t>
  </si>
  <si>
    <t>513901********4111</t>
  </si>
  <si>
    <t>513822********4904</t>
  </si>
  <si>
    <t>510727********6526</t>
  </si>
  <si>
    <t>513901********5517</t>
  </si>
  <si>
    <t>513901********0038</t>
  </si>
  <si>
    <t>513922********5852</t>
  </si>
  <si>
    <t>511025********298X</t>
  </si>
  <si>
    <t>510921********0320</t>
  </si>
  <si>
    <t>513128********001X</t>
  </si>
  <si>
    <t>513901********2313</t>
  </si>
  <si>
    <t>511321********559X</t>
  </si>
  <si>
    <t>513901********0658</t>
  </si>
  <si>
    <t>510923********8511</t>
  </si>
  <si>
    <t>513901********0013</t>
  </si>
  <si>
    <t>510113********111X</t>
  </si>
  <si>
    <t>511325********2839</t>
  </si>
  <si>
    <t>513901********702X</t>
  </si>
  <si>
    <t>511023********5721</t>
  </si>
  <si>
    <t>513901********6418</t>
  </si>
  <si>
    <t>500224********9395</t>
  </si>
  <si>
    <t>510321********0043</t>
  </si>
  <si>
    <t>513902********8714</t>
  </si>
  <si>
    <t>513901********0675</t>
  </si>
  <si>
    <t>522131********2733</t>
  </si>
  <si>
    <t>513901********5535</t>
  </si>
  <si>
    <t>511027********3260</t>
  </si>
  <si>
    <t>513822********1866</t>
  </si>
  <si>
    <t>510725********0815</t>
  </si>
  <si>
    <t>513901********1428</t>
  </si>
  <si>
    <t>513901********2323</t>
  </si>
  <si>
    <t>513902********3888</t>
  </si>
  <si>
    <t>王鹏</t>
  </si>
  <si>
    <t>513901********5510</t>
  </si>
  <si>
    <t>202408240313</t>
  </si>
  <si>
    <t>513901********5524</t>
  </si>
  <si>
    <t>513901********0425</t>
  </si>
  <si>
    <t>511023********3878</t>
  </si>
  <si>
    <t>513901********0228</t>
  </si>
  <si>
    <t>曾燕梅</t>
  </si>
  <si>
    <t>513901********7106</t>
  </si>
  <si>
    <t>202408240305</t>
  </si>
  <si>
    <t>220283********271X</t>
  </si>
  <si>
    <t>谭婷</t>
  </si>
  <si>
    <t>513901********6124</t>
  </si>
  <si>
    <t>202408240211</t>
  </si>
  <si>
    <t>513901********6621</t>
  </si>
  <si>
    <t>532128********0720</t>
  </si>
  <si>
    <t>500382********7784</t>
  </si>
  <si>
    <t>422802********3954</t>
  </si>
  <si>
    <t>513433********3422</t>
  </si>
  <si>
    <t>513721********7760</t>
  </si>
  <si>
    <t>511623********573X</t>
  </si>
  <si>
    <t>510322********8620</t>
  </si>
  <si>
    <t>511025********714X</t>
  </si>
  <si>
    <t>513922********0018</t>
  </si>
  <si>
    <t>510108********0613</t>
  </si>
  <si>
    <t>513821********1074</t>
  </si>
  <si>
    <t>513901********4976</t>
  </si>
  <si>
    <t>513922********3305</t>
  </si>
  <si>
    <t>513922********1712</t>
  </si>
  <si>
    <t>513437********1929</t>
  </si>
  <si>
    <t>530322********2837</t>
  </si>
  <si>
    <t>511025********2626</t>
  </si>
  <si>
    <t>500101********6920</t>
  </si>
  <si>
    <t>刘卫朋</t>
  </si>
  <si>
    <t>411522********1238</t>
  </si>
  <si>
    <t>202408240105</t>
  </si>
  <si>
    <t>李辉</t>
  </si>
  <si>
    <t>513901********5220</t>
  </si>
  <si>
    <t>202408240202</t>
  </si>
  <si>
    <t>王星</t>
  </si>
  <si>
    <t>513901********5525</t>
  </si>
  <si>
    <t>202408240224</t>
  </si>
  <si>
    <t>李耀</t>
  </si>
  <si>
    <t>511025********021X</t>
  </si>
  <si>
    <t>202408240234</t>
  </si>
  <si>
    <t>李华建</t>
  </si>
  <si>
    <t>533526********0412</t>
  </si>
  <si>
    <t>202408240320</t>
  </si>
  <si>
    <t>谢梦思</t>
  </si>
  <si>
    <t>510725********5146</t>
  </si>
  <si>
    <t>202408240338</t>
  </si>
  <si>
    <t>513901********0627</t>
  </si>
  <si>
    <t>511011********7837</t>
  </si>
  <si>
    <t>130125********8027</t>
  </si>
  <si>
    <t>511025********495X</t>
  </si>
  <si>
    <t>513901********1024</t>
  </si>
  <si>
    <t>510311********0521</t>
  </si>
  <si>
    <t>513901********5327</t>
  </si>
  <si>
    <t>500102********1766</t>
  </si>
  <si>
    <t>370323********0224</t>
  </si>
  <si>
    <t>410103********0037</t>
  </si>
  <si>
    <t>511521********9141</t>
  </si>
  <si>
    <t>622825********0019</t>
  </si>
  <si>
    <t>513901********1010</t>
  </si>
  <si>
    <t>513901********7015</t>
  </si>
  <si>
    <t>513901********0011</t>
  </si>
  <si>
    <t>513901********0025</t>
  </si>
  <si>
    <t>513433********3111</t>
  </si>
  <si>
    <t>513901********3922</t>
  </si>
  <si>
    <t>510802********481X</t>
  </si>
  <si>
    <t>500243********1724</t>
  </si>
  <si>
    <t>511028********1822</t>
  </si>
  <si>
    <t>510112********1823</t>
  </si>
  <si>
    <t>511303********544X</t>
  </si>
  <si>
    <t>513821********1082</t>
  </si>
  <si>
    <t>510502********4720</t>
  </si>
  <si>
    <t>513901********3936</t>
  </si>
  <si>
    <t>513822********7627</t>
  </si>
  <si>
    <t>511181********0025</t>
  </si>
  <si>
    <t>500102********5597</t>
  </si>
  <si>
    <t>510525********7937</t>
  </si>
  <si>
    <t>142202********027X</t>
  </si>
  <si>
    <t>513826********3420</t>
  </si>
  <si>
    <t>513901********1184</t>
  </si>
  <si>
    <t>513902********6740</t>
  </si>
  <si>
    <t>511002********0020</t>
  </si>
  <si>
    <t>513901********0046</t>
  </si>
  <si>
    <t>511023********7919</t>
  </si>
  <si>
    <t>510902********8695</t>
  </si>
  <si>
    <t>511025********7227</t>
  </si>
  <si>
    <t>513822********3217</t>
  </si>
  <si>
    <t>513901********0617</t>
  </si>
  <si>
    <t>513901********0211</t>
  </si>
  <si>
    <t>513922********0547</t>
  </si>
  <si>
    <t>511025********5196</t>
  </si>
  <si>
    <t>513901********1413</t>
  </si>
  <si>
    <t>513901********3376</t>
  </si>
  <si>
    <t>513901********0216</t>
  </si>
  <si>
    <t>511025********5050</t>
  </si>
  <si>
    <t>513822********9091</t>
  </si>
  <si>
    <t>652322********0514</t>
  </si>
  <si>
    <t>511023********3774</t>
  </si>
  <si>
    <t>513901********7117</t>
  </si>
  <si>
    <t>610728********1225</t>
  </si>
  <si>
    <t>500233********0016</t>
  </si>
  <si>
    <t>513901********1821</t>
  </si>
  <si>
    <t>513901********4822</t>
  </si>
  <si>
    <t>513901********0028</t>
  </si>
  <si>
    <t>513822********7645</t>
  </si>
  <si>
    <t>511622********2829</t>
  </si>
  <si>
    <t>513901********6427</t>
  </si>
  <si>
    <t>513901********1020</t>
  </si>
  <si>
    <t>510132********1222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</si>
</sst>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1"/>
      <color rgb="FF9C0006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57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14" fillId="11" borderId="2" applyNumberFormat="0" applyAlignment="0" applyProtection="0">
      <alignment vertical="center"/>
    </xf>
    <xf numFmtId="0" fontId="15" fillId="12" borderId="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" fillId="0" borderId="10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D10" sqref="D10"/>
    </sheetView>
  </sheetViews>
  <sheetFormatPr defaultColWidth="9" defaultRowHeight="14.25"/>
  <cols>
    <col min="1" max="1" width="4.225" customWidth="1"/>
    <col min="3" max="3" width="19.7333333333333" customWidth="1"/>
    <col min="4" max="4" width="26.4416666666667" style="15" customWidth="1"/>
    <col min="5" max="5" width="17.3333333333333" customWidth="1"/>
    <col min="6" max="9" width="9" hidden="1" customWidth="1"/>
    <col min="12" max="12" width="16.775" customWidth="1"/>
  </cols>
  <sheetData>
    <row r="1" s="1" customFormat="1" ht="99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6" customFormat="1" ht="32" customHeight="1" spans="1:12">
      <c r="A2" s="9" t="s">
        <v>1</v>
      </c>
      <c r="B2" s="9" t="s">
        <v>2</v>
      </c>
      <c r="C2" s="9" t="s">
        <v>3</v>
      </c>
      <c r="D2" s="17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ht="30" customHeight="1" spans="1:12">
      <c r="A3" s="7">
        <v>1</v>
      </c>
      <c r="B3" s="7" t="str">
        <f>"杨丽"</f>
        <v>杨丽</v>
      </c>
      <c r="C3" s="7" t="s">
        <v>13</v>
      </c>
      <c r="D3" s="8" t="str">
        <f>"办公室-综合管理岗（高新）"</f>
        <v>办公室-综合管理岗（高新）</v>
      </c>
      <c r="E3" s="7" t="str">
        <f>"202408240539"</f>
        <v>202408240539</v>
      </c>
      <c r="F3" s="7">
        <v>5</v>
      </c>
      <c r="G3" s="7">
        <v>39</v>
      </c>
      <c r="H3" s="7">
        <v>45</v>
      </c>
      <c r="I3" s="7">
        <v>25</v>
      </c>
      <c r="J3" s="7">
        <f>H3+I3</f>
        <v>70</v>
      </c>
      <c r="K3" s="7">
        <f>RANK(J3,J:J,0)</f>
        <v>1</v>
      </c>
      <c r="L3" s="7" t="s">
        <v>14</v>
      </c>
    </row>
    <row r="4" ht="30" customHeight="1" spans="1:12">
      <c r="A4" s="7">
        <v>2</v>
      </c>
      <c r="B4" s="7" t="str">
        <f>"应宝丽"</f>
        <v>应宝丽</v>
      </c>
      <c r="C4" s="7" t="s">
        <v>15</v>
      </c>
      <c r="D4" s="8" t="str">
        <f t="shared" ref="D4:D13" si="0">"办公室-综合管理岗（高新）"</f>
        <v>办公室-综合管理岗（高新）</v>
      </c>
      <c r="E4" s="7" t="str">
        <f>"202408240516"</f>
        <v>202408240516</v>
      </c>
      <c r="F4" s="7">
        <v>5</v>
      </c>
      <c r="G4" s="7">
        <v>16</v>
      </c>
      <c r="H4" s="7">
        <v>35</v>
      </c>
      <c r="I4" s="7">
        <v>21</v>
      </c>
      <c r="J4" s="7">
        <f>H4+I4</f>
        <v>56</v>
      </c>
      <c r="K4" s="7">
        <f>RANK(J4,J:J,0)</f>
        <v>2</v>
      </c>
      <c r="L4" s="7" t="s">
        <v>14</v>
      </c>
    </row>
    <row r="5" ht="30" customHeight="1" spans="1:12">
      <c r="A5" s="7">
        <v>3</v>
      </c>
      <c r="B5" s="7" t="str">
        <f>"黎荣芳"</f>
        <v>黎荣芳</v>
      </c>
      <c r="C5" s="7" t="s">
        <v>16</v>
      </c>
      <c r="D5" s="8" t="str">
        <f t="shared" si="0"/>
        <v>办公室-综合管理岗（高新）</v>
      </c>
      <c r="E5" s="7" t="str">
        <f>"202408240301"</f>
        <v>202408240301</v>
      </c>
      <c r="F5" s="7">
        <v>3</v>
      </c>
      <c r="G5" s="7">
        <v>1</v>
      </c>
      <c r="H5" s="7">
        <v>38</v>
      </c>
      <c r="I5" s="7">
        <v>16</v>
      </c>
      <c r="J5" s="7">
        <f>H5+I5</f>
        <v>54</v>
      </c>
      <c r="K5" s="7">
        <f>RANK(J5,J:J,0)</f>
        <v>3</v>
      </c>
      <c r="L5" s="7" t="s">
        <v>14</v>
      </c>
    </row>
    <row r="6" ht="30" customHeight="1" spans="1:12">
      <c r="A6" s="7">
        <v>4</v>
      </c>
      <c r="B6" s="7" t="str">
        <f>"黄靖"</f>
        <v>黄靖</v>
      </c>
      <c r="C6" s="7" t="s">
        <v>17</v>
      </c>
      <c r="D6" s="8" t="str">
        <f t="shared" si="0"/>
        <v>办公室-综合管理岗（高新）</v>
      </c>
      <c r="E6" s="7" t="str">
        <f>"202408240830"</f>
        <v>202408240830</v>
      </c>
      <c r="F6" s="7">
        <v>8</v>
      </c>
      <c r="G6" s="7">
        <v>30</v>
      </c>
      <c r="H6" s="7">
        <v>39</v>
      </c>
      <c r="I6" s="7">
        <v>13</v>
      </c>
      <c r="J6" s="7">
        <f>H6+I6</f>
        <v>52</v>
      </c>
      <c r="K6" s="7">
        <f>RANK(J6,J:J,0)</f>
        <v>4</v>
      </c>
      <c r="L6" s="7" t="s">
        <v>14</v>
      </c>
    </row>
    <row r="7" ht="30" customHeight="1" spans="1:12">
      <c r="A7" s="7">
        <v>5</v>
      </c>
      <c r="B7" s="7" t="str">
        <f>"罗香"</f>
        <v>罗香</v>
      </c>
      <c r="C7" s="7" t="s">
        <v>18</v>
      </c>
      <c r="D7" s="8" t="str">
        <f t="shared" si="0"/>
        <v>办公室-综合管理岗（高新）</v>
      </c>
      <c r="E7" s="7" t="str">
        <f>"202408240329"</f>
        <v>202408240329</v>
      </c>
      <c r="F7" s="7">
        <v>3</v>
      </c>
      <c r="G7" s="7">
        <v>29</v>
      </c>
      <c r="H7" s="7">
        <v>21</v>
      </c>
      <c r="I7" s="7">
        <v>0</v>
      </c>
      <c r="J7" s="7">
        <f>H7+I7</f>
        <v>21</v>
      </c>
      <c r="K7" s="7">
        <f>RANK(J7,J:J,0)</f>
        <v>5</v>
      </c>
      <c r="L7" s="7" t="s">
        <v>14</v>
      </c>
    </row>
    <row r="8" ht="30" customHeight="1" spans="1:12">
      <c r="A8" s="7">
        <v>6</v>
      </c>
      <c r="B8" s="7" t="str">
        <f>"姚泽翔"</f>
        <v>姚泽翔</v>
      </c>
      <c r="C8" s="7" t="s">
        <v>19</v>
      </c>
      <c r="D8" s="8" t="str">
        <f t="shared" si="0"/>
        <v>办公室-综合管理岗（高新）</v>
      </c>
      <c r="E8" s="7" t="str">
        <f>"202408240417"</f>
        <v>202408240417</v>
      </c>
      <c r="F8" s="7">
        <v>4</v>
      </c>
      <c r="G8" s="7">
        <v>17</v>
      </c>
      <c r="H8" s="7">
        <v>0</v>
      </c>
      <c r="I8" s="7">
        <v>0</v>
      </c>
      <c r="J8" s="7" t="s">
        <v>20</v>
      </c>
      <c r="K8" s="7"/>
      <c r="L8" s="7" t="s">
        <v>21</v>
      </c>
    </row>
    <row r="9" ht="30" customHeight="1" spans="1:12">
      <c r="A9" s="7">
        <v>7</v>
      </c>
      <c r="B9" s="7" t="str">
        <f>"张帆"</f>
        <v>张帆</v>
      </c>
      <c r="C9" s="7" t="s">
        <v>22</v>
      </c>
      <c r="D9" s="8" t="str">
        <f t="shared" si="0"/>
        <v>办公室-综合管理岗（高新）</v>
      </c>
      <c r="E9" s="7" t="str">
        <f>"202408240432"</f>
        <v>202408240432</v>
      </c>
      <c r="F9" s="7">
        <v>4</v>
      </c>
      <c r="G9" s="7">
        <v>32</v>
      </c>
      <c r="H9" s="7">
        <v>0</v>
      </c>
      <c r="I9" s="7">
        <v>0</v>
      </c>
      <c r="J9" s="7" t="s">
        <v>20</v>
      </c>
      <c r="K9" s="7"/>
      <c r="L9" s="7" t="s">
        <v>21</v>
      </c>
    </row>
    <row r="10" ht="30" customHeight="1" spans="1:12">
      <c r="A10" s="7">
        <v>8</v>
      </c>
      <c r="B10" s="7" t="str">
        <f>"王茜"</f>
        <v>王茜</v>
      </c>
      <c r="C10" s="7" t="s">
        <v>23</v>
      </c>
      <c r="D10" s="8" t="str">
        <f t="shared" si="0"/>
        <v>办公室-综合管理岗（高新）</v>
      </c>
      <c r="E10" s="7" t="str">
        <f>"202408240108"</f>
        <v>202408240108</v>
      </c>
      <c r="F10" s="7">
        <v>1</v>
      </c>
      <c r="G10" s="7">
        <v>8</v>
      </c>
      <c r="H10" s="7">
        <v>0</v>
      </c>
      <c r="I10" s="7">
        <v>0</v>
      </c>
      <c r="J10" s="7" t="s">
        <v>20</v>
      </c>
      <c r="K10" s="7"/>
      <c r="L10" s="7" t="s">
        <v>21</v>
      </c>
    </row>
    <row r="11" ht="30" customHeight="1" spans="1:12">
      <c r="A11" s="7">
        <v>9</v>
      </c>
      <c r="B11" s="7" t="str">
        <f>"田思宇"</f>
        <v>田思宇</v>
      </c>
      <c r="C11" s="7" t="s">
        <v>24</v>
      </c>
      <c r="D11" s="8" t="str">
        <f t="shared" si="0"/>
        <v>办公室-综合管理岗（高新）</v>
      </c>
      <c r="E11" s="7" t="str">
        <f>"202408240221"</f>
        <v>202408240221</v>
      </c>
      <c r="F11" s="7">
        <v>2</v>
      </c>
      <c r="G11" s="7">
        <v>21</v>
      </c>
      <c r="H11" s="7">
        <v>0</v>
      </c>
      <c r="I11" s="7">
        <v>0</v>
      </c>
      <c r="J11" s="7" t="s">
        <v>20</v>
      </c>
      <c r="K11" s="7"/>
      <c r="L11" s="7" t="s">
        <v>21</v>
      </c>
    </row>
    <row r="12" ht="30" customHeight="1" spans="1:12">
      <c r="A12" s="7">
        <v>10</v>
      </c>
      <c r="B12" s="7" t="str">
        <f>"刘高池"</f>
        <v>刘高池</v>
      </c>
      <c r="C12" s="7" t="s">
        <v>25</v>
      </c>
      <c r="D12" s="8" t="str">
        <f t="shared" si="0"/>
        <v>办公室-综合管理岗（高新）</v>
      </c>
      <c r="E12" s="7" t="str">
        <f>"202408240310"</f>
        <v>202408240310</v>
      </c>
      <c r="F12" s="7">
        <v>3</v>
      </c>
      <c r="G12" s="7">
        <v>10</v>
      </c>
      <c r="H12" s="7">
        <v>0</v>
      </c>
      <c r="I12" s="7">
        <v>0</v>
      </c>
      <c r="J12" s="7" t="s">
        <v>20</v>
      </c>
      <c r="K12" s="7"/>
      <c r="L12" s="7" t="s">
        <v>21</v>
      </c>
    </row>
    <row r="13" ht="30" customHeight="1" spans="1:12">
      <c r="A13" s="7">
        <v>11</v>
      </c>
      <c r="B13" s="7" t="str">
        <f>"万心玥"</f>
        <v>万心玥</v>
      </c>
      <c r="C13" s="7" t="s">
        <v>26</v>
      </c>
      <c r="D13" s="8" t="str">
        <f t="shared" si="0"/>
        <v>办公室-综合管理岗（高新）</v>
      </c>
      <c r="E13" s="7" t="str">
        <f>"202408240335"</f>
        <v>202408240335</v>
      </c>
      <c r="F13" s="7">
        <v>3</v>
      </c>
      <c r="G13" s="7">
        <v>35</v>
      </c>
      <c r="H13" s="7">
        <v>0</v>
      </c>
      <c r="I13" s="7">
        <v>0</v>
      </c>
      <c r="J13" s="7" t="s">
        <v>20</v>
      </c>
      <c r="K13" s="7"/>
      <c r="L13" s="7" t="s">
        <v>21</v>
      </c>
    </row>
  </sheetData>
  <mergeCells count="1">
    <mergeCell ref="A1:L1"/>
  </mergeCells>
  <pageMargins left="0" right="0" top="0.751388888888889" bottom="0.751388888888889" header="0.298611111111111" footer="0.298611111111111"/>
  <pageSetup paperSize="9" scale="8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7"/>
  <sheetViews>
    <sheetView workbookViewId="0">
      <selection activeCell="E2" sqref="E$1:E$1048576"/>
    </sheetView>
  </sheetViews>
  <sheetFormatPr defaultColWidth="9" defaultRowHeight="14.25"/>
  <cols>
    <col min="1" max="1" width="5.33333333333333" customWidth="1"/>
    <col min="3" max="3" width="19.7333333333333" customWidth="1"/>
    <col min="4" max="4" width="22.775" style="15" customWidth="1"/>
    <col min="5" max="5" width="17.3333333333333" customWidth="1"/>
    <col min="6" max="9" width="9" hidden="1" customWidth="1"/>
    <col min="12" max="12" width="23.8916666666667" customWidth="1"/>
  </cols>
  <sheetData>
    <row r="1" s="1" customFormat="1" ht="99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6" customFormat="1" ht="32" customHeight="1" spans="1:12">
      <c r="A2" s="9" t="s">
        <v>1</v>
      </c>
      <c r="B2" s="9" t="s">
        <v>2</v>
      </c>
      <c r="C2" s="9" t="s">
        <v>3</v>
      </c>
      <c r="D2" s="17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ht="29" customHeight="1" spans="1:12">
      <c r="A3" s="7">
        <v>1</v>
      </c>
      <c r="B3" s="7" t="str">
        <f>"肖琪羽"</f>
        <v>肖琪羽</v>
      </c>
      <c r="C3" s="7" t="s">
        <v>27</v>
      </c>
      <c r="D3" s="8" t="str">
        <f>"党群部-宣传岗（高新）"</f>
        <v>党群部-宣传岗（高新）</v>
      </c>
      <c r="E3" s="7" t="str">
        <f>"202408240530"</f>
        <v>202408240530</v>
      </c>
      <c r="F3" s="7">
        <v>5</v>
      </c>
      <c r="G3" s="7">
        <v>30</v>
      </c>
      <c r="H3" s="7">
        <v>45</v>
      </c>
      <c r="I3" s="7">
        <v>19</v>
      </c>
      <c r="J3" s="7">
        <f t="shared" ref="J3:J18" si="0">H3+I3</f>
        <v>64</v>
      </c>
      <c r="K3" s="7">
        <f>RANK(J3,J:J,0)</f>
        <v>1</v>
      </c>
      <c r="L3" s="7" t="s">
        <v>14</v>
      </c>
    </row>
    <row r="4" ht="29" customHeight="1" spans="1:12">
      <c r="A4" s="7">
        <v>2</v>
      </c>
      <c r="B4" s="7" t="str">
        <f>"曹译心"</f>
        <v>曹译心</v>
      </c>
      <c r="C4" s="7" t="s">
        <v>28</v>
      </c>
      <c r="D4" s="8" t="str">
        <f>"党群部-宣传岗（高新）"</f>
        <v>党群部-宣传岗（高新）</v>
      </c>
      <c r="E4" s="7" t="str">
        <f>"202408240720"</f>
        <v>202408240720</v>
      </c>
      <c r="F4" s="7">
        <v>7</v>
      </c>
      <c r="G4" s="7">
        <v>20</v>
      </c>
      <c r="H4" s="7">
        <v>41</v>
      </c>
      <c r="I4" s="7">
        <v>16</v>
      </c>
      <c r="J4" s="7">
        <f t="shared" si="0"/>
        <v>57</v>
      </c>
      <c r="K4" s="7">
        <f>RANK(J4,J:J,0)</f>
        <v>2</v>
      </c>
      <c r="L4" s="7" t="s">
        <v>14</v>
      </c>
    </row>
    <row r="5" ht="29" customHeight="1" spans="1:12">
      <c r="A5" s="7">
        <v>3</v>
      </c>
      <c r="B5" s="7" t="str">
        <f>"李玥萱"</f>
        <v>李玥萱</v>
      </c>
      <c r="C5" s="7" t="s">
        <v>29</v>
      </c>
      <c r="D5" s="8" t="str">
        <f t="shared" ref="D5:D14" si="1">"党群部-宣传岗（高新）"</f>
        <v>党群部-宣传岗（高新）</v>
      </c>
      <c r="E5" s="7" t="str">
        <f>"202408240737"</f>
        <v>202408240737</v>
      </c>
      <c r="F5" s="7">
        <v>7</v>
      </c>
      <c r="G5" s="7">
        <v>37</v>
      </c>
      <c r="H5" s="7">
        <v>38</v>
      </c>
      <c r="I5" s="7">
        <v>19</v>
      </c>
      <c r="J5" s="7">
        <f t="shared" si="0"/>
        <v>57</v>
      </c>
      <c r="K5" s="7">
        <f>RANK(J5,J:J,0)</f>
        <v>2</v>
      </c>
      <c r="L5" s="7" t="s">
        <v>14</v>
      </c>
    </row>
    <row r="6" ht="29" customHeight="1" spans="1:12">
      <c r="A6" s="7">
        <v>4</v>
      </c>
      <c r="B6" s="7" t="str">
        <f>"詹睿智"</f>
        <v>詹睿智</v>
      </c>
      <c r="C6" s="7" t="s">
        <v>30</v>
      </c>
      <c r="D6" s="8" t="str">
        <f t="shared" si="1"/>
        <v>党群部-宣传岗（高新）</v>
      </c>
      <c r="E6" s="7" t="str">
        <f>"202408240114"</f>
        <v>202408240114</v>
      </c>
      <c r="F6" s="7">
        <v>1</v>
      </c>
      <c r="G6" s="7">
        <v>14</v>
      </c>
      <c r="H6" s="7">
        <v>36</v>
      </c>
      <c r="I6" s="7">
        <v>19</v>
      </c>
      <c r="J6" s="7">
        <f t="shared" si="0"/>
        <v>55</v>
      </c>
      <c r="K6" s="7">
        <f>RANK(J6,J:J,0)</f>
        <v>4</v>
      </c>
      <c r="L6" s="7" t="s">
        <v>14</v>
      </c>
    </row>
    <row r="7" ht="29" customHeight="1" spans="1:12">
      <c r="A7" s="7">
        <v>5</v>
      </c>
      <c r="B7" s="7" t="str">
        <f>"杨依甜"</f>
        <v>杨依甜</v>
      </c>
      <c r="C7" s="7" t="s">
        <v>31</v>
      </c>
      <c r="D7" s="8" t="str">
        <f t="shared" si="1"/>
        <v>党群部-宣传岗（高新）</v>
      </c>
      <c r="E7" s="7" t="str">
        <f>"202408240619"</f>
        <v>202408240619</v>
      </c>
      <c r="F7" s="7">
        <v>6</v>
      </c>
      <c r="G7" s="7">
        <v>19</v>
      </c>
      <c r="H7" s="7">
        <v>36</v>
      </c>
      <c r="I7" s="7">
        <v>18</v>
      </c>
      <c r="J7" s="7">
        <f t="shared" si="0"/>
        <v>54</v>
      </c>
      <c r="K7" s="7">
        <f>RANK(J7,J:J,0)</f>
        <v>5</v>
      </c>
      <c r="L7" s="7" t="s">
        <v>14</v>
      </c>
    </row>
    <row r="8" ht="29" customHeight="1" spans="1:12">
      <c r="A8" s="7">
        <v>6</v>
      </c>
      <c r="B8" s="7" t="str">
        <f>"肖徐"</f>
        <v>肖徐</v>
      </c>
      <c r="C8" s="7" t="s">
        <v>32</v>
      </c>
      <c r="D8" s="8" t="str">
        <f t="shared" si="1"/>
        <v>党群部-宣传岗（高新）</v>
      </c>
      <c r="E8" s="7" t="str">
        <f>"202408240922"</f>
        <v>202408240922</v>
      </c>
      <c r="F8" s="7">
        <v>9</v>
      </c>
      <c r="G8" s="7">
        <v>22</v>
      </c>
      <c r="H8" s="7">
        <v>35</v>
      </c>
      <c r="I8" s="7">
        <v>16</v>
      </c>
      <c r="J8" s="7">
        <f t="shared" si="0"/>
        <v>51</v>
      </c>
      <c r="K8" s="7">
        <f>RANK(J8,J:J,0)</f>
        <v>6</v>
      </c>
      <c r="L8" s="7" t="s">
        <v>21</v>
      </c>
    </row>
    <row r="9" ht="29" customHeight="1" spans="1:12">
      <c r="A9" s="7">
        <v>7</v>
      </c>
      <c r="B9" s="7" t="str">
        <f>"张新雨"</f>
        <v>张新雨</v>
      </c>
      <c r="C9" s="7" t="s">
        <v>33</v>
      </c>
      <c r="D9" s="8" t="str">
        <f t="shared" si="1"/>
        <v>党群部-宣传岗（高新）</v>
      </c>
      <c r="E9" s="7" t="str">
        <f>"202408240537"</f>
        <v>202408240537</v>
      </c>
      <c r="F9" s="7">
        <v>5</v>
      </c>
      <c r="G9" s="7">
        <v>37</v>
      </c>
      <c r="H9" s="7">
        <v>34</v>
      </c>
      <c r="I9" s="7">
        <v>15</v>
      </c>
      <c r="J9" s="7">
        <f t="shared" si="0"/>
        <v>49</v>
      </c>
      <c r="K9" s="7">
        <f>RANK(J9,J:J,0)</f>
        <v>7</v>
      </c>
      <c r="L9" s="7" t="s">
        <v>21</v>
      </c>
    </row>
    <row r="10" ht="29" customHeight="1" spans="1:12">
      <c r="A10" s="7">
        <v>8</v>
      </c>
      <c r="B10" s="7" t="str">
        <f>"王小芳"</f>
        <v>王小芳</v>
      </c>
      <c r="C10" s="7" t="s">
        <v>34</v>
      </c>
      <c r="D10" s="8" t="str">
        <f t="shared" si="1"/>
        <v>党群部-宣传岗（高新）</v>
      </c>
      <c r="E10" s="7" t="str">
        <f>"202408240905"</f>
        <v>202408240905</v>
      </c>
      <c r="F10" s="7">
        <v>9</v>
      </c>
      <c r="G10" s="7">
        <v>5</v>
      </c>
      <c r="H10" s="7">
        <v>35</v>
      </c>
      <c r="I10" s="7">
        <v>13</v>
      </c>
      <c r="J10" s="7">
        <f t="shared" si="0"/>
        <v>48</v>
      </c>
      <c r="K10" s="7">
        <f>RANK(J10,J:J,0)</f>
        <v>8</v>
      </c>
      <c r="L10" s="7" t="s">
        <v>21</v>
      </c>
    </row>
    <row r="11" ht="29" customHeight="1" spans="1:12">
      <c r="A11" s="7">
        <v>9</v>
      </c>
      <c r="B11" s="7" t="str">
        <f>"任羽严"</f>
        <v>任羽严</v>
      </c>
      <c r="C11" s="7" t="s">
        <v>35</v>
      </c>
      <c r="D11" s="8" t="str">
        <f t="shared" si="1"/>
        <v>党群部-宣传岗（高新）</v>
      </c>
      <c r="E11" s="7" t="str">
        <f>"202408240434"</f>
        <v>202408240434</v>
      </c>
      <c r="F11" s="7">
        <v>4</v>
      </c>
      <c r="G11" s="7">
        <v>34</v>
      </c>
      <c r="H11" s="7">
        <v>37</v>
      </c>
      <c r="I11" s="7">
        <v>10</v>
      </c>
      <c r="J11" s="7">
        <f t="shared" si="0"/>
        <v>47</v>
      </c>
      <c r="K11" s="7">
        <f>RANK(J11,J:J,0)</f>
        <v>9</v>
      </c>
      <c r="L11" s="7" t="s">
        <v>21</v>
      </c>
    </row>
    <row r="12" ht="29" customHeight="1" spans="1:12">
      <c r="A12" s="7">
        <v>10</v>
      </c>
      <c r="B12" s="7" t="str">
        <f>"王建生"</f>
        <v>王建生</v>
      </c>
      <c r="C12" s="7" t="s">
        <v>36</v>
      </c>
      <c r="D12" s="8" t="str">
        <f t="shared" si="1"/>
        <v>党群部-宣传岗（高新）</v>
      </c>
      <c r="E12" s="7" t="str">
        <f>"202408241413"</f>
        <v>202408241413</v>
      </c>
      <c r="F12" s="7">
        <v>14</v>
      </c>
      <c r="G12" s="7">
        <v>13</v>
      </c>
      <c r="H12" s="7">
        <v>34</v>
      </c>
      <c r="I12" s="7">
        <v>12</v>
      </c>
      <c r="J12" s="7">
        <f t="shared" si="0"/>
        <v>46</v>
      </c>
      <c r="K12" s="7">
        <f>RANK(J12,J:J,0)</f>
        <v>10</v>
      </c>
      <c r="L12" s="7" t="s">
        <v>21</v>
      </c>
    </row>
    <row r="13" ht="29" customHeight="1" spans="1:12">
      <c r="A13" s="7">
        <v>11</v>
      </c>
      <c r="B13" s="7" t="str">
        <f>"李东璘"</f>
        <v>李东璘</v>
      </c>
      <c r="C13" s="7" t="s">
        <v>37</v>
      </c>
      <c r="D13" s="8" t="str">
        <f t="shared" si="1"/>
        <v>党群部-宣传岗（高新）</v>
      </c>
      <c r="E13" s="7" t="str">
        <f>"202408240303"</f>
        <v>202408240303</v>
      </c>
      <c r="F13" s="7">
        <v>3</v>
      </c>
      <c r="G13" s="7">
        <v>3</v>
      </c>
      <c r="H13" s="7">
        <v>38</v>
      </c>
      <c r="I13" s="7">
        <v>7</v>
      </c>
      <c r="J13" s="7">
        <f t="shared" si="0"/>
        <v>45</v>
      </c>
      <c r="K13" s="7">
        <f>RANK(J13,J:J,0)</f>
        <v>11</v>
      </c>
      <c r="L13" s="7" t="s">
        <v>21</v>
      </c>
    </row>
    <row r="14" ht="29" customHeight="1" spans="1:12">
      <c r="A14" s="7">
        <v>12</v>
      </c>
      <c r="B14" s="7" t="str">
        <f>"刘名汝"</f>
        <v>刘名汝</v>
      </c>
      <c r="C14" s="7" t="s">
        <v>38</v>
      </c>
      <c r="D14" s="8" t="str">
        <f t="shared" si="1"/>
        <v>党群部-宣传岗（高新）</v>
      </c>
      <c r="E14" s="7" t="str">
        <f>"202408240724"</f>
        <v>202408240724</v>
      </c>
      <c r="F14" s="7">
        <v>7</v>
      </c>
      <c r="G14" s="7">
        <v>24</v>
      </c>
      <c r="H14" s="7">
        <v>36</v>
      </c>
      <c r="I14" s="7">
        <v>9</v>
      </c>
      <c r="J14" s="7">
        <f t="shared" si="0"/>
        <v>45</v>
      </c>
      <c r="K14" s="7">
        <f>RANK(J14,J:J,0)</f>
        <v>11</v>
      </c>
      <c r="L14" s="7" t="s">
        <v>21</v>
      </c>
    </row>
    <row r="15" ht="29" customHeight="1" spans="1:12">
      <c r="A15" s="7">
        <v>13</v>
      </c>
      <c r="B15" s="7" t="str">
        <f>"江文静"</f>
        <v>江文静</v>
      </c>
      <c r="C15" s="7" t="s">
        <v>39</v>
      </c>
      <c r="D15" s="8" t="str">
        <f t="shared" ref="D15:D24" si="2">"党群部-宣传岗（高新）"</f>
        <v>党群部-宣传岗（高新）</v>
      </c>
      <c r="E15" s="7" t="str">
        <f>"202408240123"</f>
        <v>202408240123</v>
      </c>
      <c r="F15" s="7">
        <v>1</v>
      </c>
      <c r="G15" s="7">
        <v>23</v>
      </c>
      <c r="H15" s="7">
        <v>35</v>
      </c>
      <c r="I15" s="7">
        <v>9</v>
      </c>
      <c r="J15" s="7">
        <f t="shared" si="0"/>
        <v>44</v>
      </c>
      <c r="K15" s="7">
        <f>RANK(J15,J:J,0)</f>
        <v>13</v>
      </c>
      <c r="L15" s="7" t="s">
        <v>21</v>
      </c>
    </row>
    <row r="16" ht="29" customHeight="1" spans="1:12">
      <c r="A16" s="7">
        <v>14</v>
      </c>
      <c r="B16" s="7" t="str">
        <f>"石清梅"</f>
        <v>石清梅</v>
      </c>
      <c r="C16" s="7" t="s">
        <v>40</v>
      </c>
      <c r="D16" s="8" t="str">
        <f t="shared" si="2"/>
        <v>党群部-宣传岗（高新）</v>
      </c>
      <c r="E16" s="7" t="str">
        <f>"202408240218"</f>
        <v>202408240218</v>
      </c>
      <c r="F16" s="7">
        <v>2</v>
      </c>
      <c r="G16" s="7">
        <v>18</v>
      </c>
      <c r="H16" s="7">
        <v>30</v>
      </c>
      <c r="I16" s="7">
        <v>14</v>
      </c>
      <c r="J16" s="7">
        <f t="shared" si="0"/>
        <v>44</v>
      </c>
      <c r="K16" s="7">
        <f>RANK(J16,J:J,0)</f>
        <v>13</v>
      </c>
      <c r="L16" s="7" t="s">
        <v>21</v>
      </c>
    </row>
    <row r="17" ht="29" customHeight="1" spans="1:12">
      <c r="A17" s="7">
        <v>15</v>
      </c>
      <c r="B17" s="7" t="str">
        <f>"魏若楠"</f>
        <v>魏若楠</v>
      </c>
      <c r="C17" s="7" t="s">
        <v>41</v>
      </c>
      <c r="D17" s="8" t="str">
        <f t="shared" si="2"/>
        <v>党群部-宣传岗（高新）</v>
      </c>
      <c r="E17" s="7" t="str">
        <f>"202408240401"</f>
        <v>202408240401</v>
      </c>
      <c r="F17" s="7">
        <v>4</v>
      </c>
      <c r="G17" s="7">
        <v>1</v>
      </c>
      <c r="H17" s="7">
        <v>34</v>
      </c>
      <c r="I17" s="7">
        <v>9</v>
      </c>
      <c r="J17" s="7">
        <f t="shared" si="0"/>
        <v>43</v>
      </c>
      <c r="K17" s="7">
        <f>RANK(J17,J:J,0)</f>
        <v>15</v>
      </c>
      <c r="L17" s="7" t="s">
        <v>21</v>
      </c>
    </row>
    <row r="18" ht="29" customHeight="1" spans="1:12">
      <c r="A18" s="7">
        <v>16</v>
      </c>
      <c r="B18" s="7" t="str">
        <f>"廖小汶"</f>
        <v>廖小汶</v>
      </c>
      <c r="C18" s="7" t="s">
        <v>42</v>
      </c>
      <c r="D18" s="8" t="str">
        <f t="shared" si="2"/>
        <v>党群部-宣传岗（高新）</v>
      </c>
      <c r="E18" s="7" t="str">
        <f>"202408240538"</f>
        <v>202408240538</v>
      </c>
      <c r="F18" s="7">
        <v>5</v>
      </c>
      <c r="G18" s="7">
        <v>38</v>
      </c>
      <c r="H18" s="7">
        <v>33</v>
      </c>
      <c r="I18" s="7">
        <v>6</v>
      </c>
      <c r="J18" s="7">
        <f t="shared" si="0"/>
        <v>39</v>
      </c>
      <c r="K18" s="7">
        <f>RANK(J18,J:J,0)</f>
        <v>16</v>
      </c>
      <c r="L18" s="7" t="s">
        <v>21</v>
      </c>
    </row>
    <row r="19" ht="29" customHeight="1" spans="1:12">
      <c r="A19" s="7">
        <v>17</v>
      </c>
      <c r="B19" s="7" t="str">
        <f>"杨萍"</f>
        <v>杨萍</v>
      </c>
      <c r="C19" s="7" t="s">
        <v>43</v>
      </c>
      <c r="D19" s="8" t="str">
        <f t="shared" si="2"/>
        <v>党群部-宣传岗（高新）</v>
      </c>
      <c r="E19" s="7" t="str">
        <f>"202408240404"</f>
        <v>202408240404</v>
      </c>
      <c r="F19" s="7">
        <v>4</v>
      </c>
      <c r="G19" s="7">
        <v>4</v>
      </c>
      <c r="H19" s="7">
        <v>0</v>
      </c>
      <c r="I19" s="7">
        <v>0</v>
      </c>
      <c r="J19" s="7" t="s">
        <v>20</v>
      </c>
      <c r="K19" s="7"/>
      <c r="L19" s="7" t="s">
        <v>21</v>
      </c>
    </row>
    <row r="20" ht="29" customHeight="1" spans="1:12">
      <c r="A20" s="7">
        <v>18</v>
      </c>
      <c r="B20" s="7" t="str">
        <f>"张潇月"</f>
        <v>张潇月</v>
      </c>
      <c r="C20" s="7" t="s">
        <v>44</v>
      </c>
      <c r="D20" s="8" t="str">
        <f t="shared" si="2"/>
        <v>党群部-宣传岗（高新）</v>
      </c>
      <c r="E20" s="7" t="str">
        <f>"202408240420"</f>
        <v>202408240420</v>
      </c>
      <c r="F20" s="7">
        <v>4</v>
      </c>
      <c r="G20" s="7">
        <v>20</v>
      </c>
      <c r="H20" s="7">
        <v>0</v>
      </c>
      <c r="I20" s="7">
        <v>0</v>
      </c>
      <c r="J20" s="7" t="s">
        <v>20</v>
      </c>
      <c r="K20" s="7"/>
      <c r="L20" s="7" t="s">
        <v>21</v>
      </c>
    </row>
    <row r="21" ht="29" customHeight="1" spans="1:12">
      <c r="A21" s="7">
        <v>19</v>
      </c>
      <c r="B21" s="7" t="str">
        <f>"叶雨生"</f>
        <v>叶雨生</v>
      </c>
      <c r="C21" s="7" t="s">
        <v>45</v>
      </c>
      <c r="D21" s="8" t="str">
        <f t="shared" si="2"/>
        <v>党群部-宣传岗（高新）</v>
      </c>
      <c r="E21" s="7" t="str">
        <f>"202408240423"</f>
        <v>202408240423</v>
      </c>
      <c r="F21" s="7">
        <v>4</v>
      </c>
      <c r="G21" s="7">
        <v>23</v>
      </c>
      <c r="H21" s="7">
        <v>0</v>
      </c>
      <c r="I21" s="7">
        <v>0</v>
      </c>
      <c r="J21" s="7" t="s">
        <v>20</v>
      </c>
      <c r="K21" s="7"/>
      <c r="L21" s="7" t="s">
        <v>21</v>
      </c>
    </row>
    <row r="22" ht="29" customHeight="1" spans="1:12">
      <c r="A22" s="7">
        <v>20</v>
      </c>
      <c r="B22" s="7" t="str">
        <f>"王宁"</f>
        <v>王宁</v>
      </c>
      <c r="C22" s="7" t="s">
        <v>46</v>
      </c>
      <c r="D22" s="8" t="str">
        <f t="shared" si="2"/>
        <v>党群部-宣传岗（高新）</v>
      </c>
      <c r="E22" s="7" t="str">
        <f>"202408240425"</f>
        <v>202408240425</v>
      </c>
      <c r="F22" s="7">
        <v>4</v>
      </c>
      <c r="G22" s="7">
        <v>25</v>
      </c>
      <c r="H22" s="7">
        <v>0</v>
      </c>
      <c r="I22" s="7">
        <v>0</v>
      </c>
      <c r="J22" s="7" t="s">
        <v>20</v>
      </c>
      <c r="K22" s="7"/>
      <c r="L22" s="7" t="s">
        <v>21</v>
      </c>
    </row>
    <row r="23" ht="29" customHeight="1" spans="1:12">
      <c r="A23" s="7">
        <v>21</v>
      </c>
      <c r="B23" s="7" t="str">
        <f>"李悦"</f>
        <v>李悦</v>
      </c>
      <c r="C23" s="7" t="s">
        <v>47</v>
      </c>
      <c r="D23" s="8" t="str">
        <f t="shared" si="2"/>
        <v>党群部-宣传岗（高新）</v>
      </c>
      <c r="E23" s="7" t="str">
        <f>"202408240503"</f>
        <v>202408240503</v>
      </c>
      <c r="F23" s="7">
        <v>5</v>
      </c>
      <c r="G23" s="7">
        <v>3</v>
      </c>
      <c r="H23" s="7">
        <v>0</v>
      </c>
      <c r="I23" s="7">
        <v>0</v>
      </c>
      <c r="J23" s="7" t="s">
        <v>20</v>
      </c>
      <c r="K23" s="7"/>
      <c r="L23" s="7" t="s">
        <v>21</v>
      </c>
    </row>
    <row r="24" ht="29" customHeight="1" spans="1:12">
      <c r="A24" s="7">
        <v>22</v>
      </c>
      <c r="B24" s="7" t="str">
        <f>"邱尔呷"</f>
        <v>邱尔呷</v>
      </c>
      <c r="C24" s="7" t="s">
        <v>48</v>
      </c>
      <c r="D24" s="8" t="str">
        <f t="shared" si="2"/>
        <v>党群部-宣传岗（高新）</v>
      </c>
      <c r="E24" s="7" t="str">
        <f>"202408240710"</f>
        <v>202408240710</v>
      </c>
      <c r="F24" s="7">
        <v>7</v>
      </c>
      <c r="G24" s="7">
        <v>10</v>
      </c>
      <c r="H24" s="7">
        <v>0</v>
      </c>
      <c r="I24" s="7">
        <v>0</v>
      </c>
      <c r="J24" s="7" t="s">
        <v>20</v>
      </c>
      <c r="K24" s="7"/>
      <c r="L24" s="7" t="s">
        <v>21</v>
      </c>
    </row>
    <row r="25" ht="29" customHeight="1" spans="1:12">
      <c r="A25" s="7">
        <v>23</v>
      </c>
      <c r="B25" s="7" t="str">
        <f>"罗磊"</f>
        <v>罗磊</v>
      </c>
      <c r="C25" s="7" t="s">
        <v>49</v>
      </c>
      <c r="D25" s="8" t="str">
        <f t="shared" ref="D25:D37" si="3">"党群部-宣传岗（高新）"</f>
        <v>党群部-宣传岗（高新）</v>
      </c>
      <c r="E25" s="7" t="str">
        <f>"202408240719"</f>
        <v>202408240719</v>
      </c>
      <c r="F25" s="7">
        <v>7</v>
      </c>
      <c r="G25" s="7">
        <v>19</v>
      </c>
      <c r="H25" s="7">
        <v>0</v>
      </c>
      <c r="I25" s="7">
        <v>0</v>
      </c>
      <c r="J25" s="7" t="s">
        <v>20</v>
      </c>
      <c r="K25" s="7"/>
      <c r="L25" s="7" t="s">
        <v>21</v>
      </c>
    </row>
    <row r="26" ht="29" customHeight="1" spans="1:12">
      <c r="A26" s="7">
        <v>24</v>
      </c>
      <c r="B26" s="7" t="str">
        <f>"冯碧丹"</f>
        <v>冯碧丹</v>
      </c>
      <c r="C26" s="7" t="s">
        <v>50</v>
      </c>
      <c r="D26" s="8" t="str">
        <f t="shared" si="3"/>
        <v>党群部-宣传岗（高新）</v>
      </c>
      <c r="E26" s="7" t="str">
        <f>"202408240909"</f>
        <v>202408240909</v>
      </c>
      <c r="F26" s="7">
        <v>9</v>
      </c>
      <c r="G26" s="7">
        <v>9</v>
      </c>
      <c r="H26" s="7">
        <v>0</v>
      </c>
      <c r="I26" s="7">
        <v>0</v>
      </c>
      <c r="J26" s="7" t="s">
        <v>20</v>
      </c>
      <c r="K26" s="7"/>
      <c r="L26" s="7" t="s">
        <v>21</v>
      </c>
    </row>
    <row r="27" ht="29" customHeight="1" spans="1:12">
      <c r="A27" s="7">
        <v>25</v>
      </c>
      <c r="B27" s="7" t="str">
        <f>"彭乙峰"</f>
        <v>彭乙峰</v>
      </c>
      <c r="C27" s="7" t="s">
        <v>51</v>
      </c>
      <c r="D27" s="8" t="str">
        <f t="shared" si="3"/>
        <v>党群部-宣传岗（高新）</v>
      </c>
      <c r="E27" s="7" t="str">
        <f>"202408240912"</f>
        <v>202408240912</v>
      </c>
      <c r="F27" s="7">
        <v>9</v>
      </c>
      <c r="G27" s="7">
        <v>12</v>
      </c>
      <c r="H27" s="7">
        <v>0</v>
      </c>
      <c r="I27" s="7">
        <v>0</v>
      </c>
      <c r="J27" s="7" t="s">
        <v>20</v>
      </c>
      <c r="K27" s="7"/>
      <c r="L27" s="7" t="s">
        <v>21</v>
      </c>
    </row>
    <row r="28" ht="29" customHeight="1" spans="1:12">
      <c r="A28" s="7">
        <v>26</v>
      </c>
      <c r="B28" s="7" t="str">
        <f>"彭莉芝"</f>
        <v>彭莉芝</v>
      </c>
      <c r="C28" s="7" t="s">
        <v>52</v>
      </c>
      <c r="D28" s="8" t="str">
        <f t="shared" si="3"/>
        <v>党群部-宣传岗（高新）</v>
      </c>
      <c r="E28" s="7" t="str">
        <f>"202408241404"</f>
        <v>202408241404</v>
      </c>
      <c r="F28" s="7">
        <v>14</v>
      </c>
      <c r="G28" s="7">
        <v>4</v>
      </c>
      <c r="H28" s="7">
        <v>0</v>
      </c>
      <c r="I28" s="7">
        <v>0</v>
      </c>
      <c r="J28" s="7" t="s">
        <v>20</v>
      </c>
      <c r="K28" s="7"/>
      <c r="L28" s="7" t="s">
        <v>21</v>
      </c>
    </row>
    <row r="29" ht="29" customHeight="1" spans="1:12">
      <c r="A29" s="7">
        <v>27</v>
      </c>
      <c r="B29" s="7" t="str">
        <f>"覃镜霖"</f>
        <v>覃镜霖</v>
      </c>
      <c r="C29" s="7" t="s">
        <v>53</v>
      </c>
      <c r="D29" s="8" t="str">
        <f t="shared" si="3"/>
        <v>党群部-宣传岗（高新）</v>
      </c>
      <c r="E29" s="7" t="str">
        <f>"202408241406"</f>
        <v>202408241406</v>
      </c>
      <c r="F29" s="7">
        <v>14</v>
      </c>
      <c r="G29" s="7">
        <v>6</v>
      </c>
      <c r="H29" s="7">
        <v>0</v>
      </c>
      <c r="I29" s="7">
        <v>0</v>
      </c>
      <c r="J29" s="7" t="s">
        <v>20</v>
      </c>
      <c r="K29" s="7"/>
      <c r="L29" s="7" t="s">
        <v>21</v>
      </c>
    </row>
    <row r="30" ht="29" customHeight="1" spans="1:12">
      <c r="A30" s="7">
        <v>28</v>
      </c>
      <c r="B30" s="7" t="str">
        <f>"周宇杰"</f>
        <v>周宇杰</v>
      </c>
      <c r="C30" s="7" t="s">
        <v>54</v>
      </c>
      <c r="D30" s="8" t="str">
        <f t="shared" si="3"/>
        <v>党群部-宣传岗（高新）</v>
      </c>
      <c r="E30" s="7" t="str">
        <f>"202408241407"</f>
        <v>202408241407</v>
      </c>
      <c r="F30" s="7">
        <v>14</v>
      </c>
      <c r="G30" s="7">
        <v>7</v>
      </c>
      <c r="H30" s="7">
        <v>0</v>
      </c>
      <c r="I30" s="7">
        <v>0</v>
      </c>
      <c r="J30" s="7" t="s">
        <v>20</v>
      </c>
      <c r="K30" s="7"/>
      <c r="L30" s="7" t="s">
        <v>21</v>
      </c>
    </row>
    <row r="31" ht="29" customHeight="1" spans="1:12">
      <c r="A31" s="7">
        <v>29</v>
      </c>
      <c r="B31" s="7" t="str">
        <f>"李佳华"</f>
        <v>李佳华</v>
      </c>
      <c r="C31" s="7" t="s">
        <v>55</v>
      </c>
      <c r="D31" s="8" t="str">
        <f t="shared" si="3"/>
        <v>党群部-宣传岗（高新）</v>
      </c>
      <c r="E31" s="7" t="str">
        <f>"202408241409"</f>
        <v>202408241409</v>
      </c>
      <c r="F31" s="7">
        <v>14</v>
      </c>
      <c r="G31" s="7">
        <v>9</v>
      </c>
      <c r="H31" s="7">
        <v>0</v>
      </c>
      <c r="I31" s="7">
        <v>0</v>
      </c>
      <c r="J31" s="7" t="s">
        <v>20</v>
      </c>
      <c r="K31" s="7"/>
      <c r="L31" s="7" t="s">
        <v>21</v>
      </c>
    </row>
    <row r="32" ht="29" customHeight="1" spans="1:12">
      <c r="A32" s="7">
        <v>30</v>
      </c>
      <c r="B32" s="7" t="str">
        <f>"邹俊松"</f>
        <v>邹俊松</v>
      </c>
      <c r="C32" s="7" t="s">
        <v>56</v>
      </c>
      <c r="D32" s="8" t="str">
        <f t="shared" si="3"/>
        <v>党群部-宣传岗（高新）</v>
      </c>
      <c r="E32" s="7" t="str">
        <f>"202408241424"</f>
        <v>202408241424</v>
      </c>
      <c r="F32" s="7">
        <v>14</v>
      </c>
      <c r="G32" s="7">
        <v>24</v>
      </c>
      <c r="H32" s="7">
        <v>0</v>
      </c>
      <c r="I32" s="7">
        <v>0</v>
      </c>
      <c r="J32" s="7" t="s">
        <v>20</v>
      </c>
      <c r="K32" s="7"/>
      <c r="L32" s="7" t="s">
        <v>21</v>
      </c>
    </row>
    <row r="33" ht="29" customHeight="1" spans="1:12">
      <c r="A33" s="7">
        <v>31</v>
      </c>
      <c r="B33" s="7" t="str">
        <f>"林洪平"</f>
        <v>林洪平</v>
      </c>
      <c r="C33" s="7" t="s">
        <v>57</v>
      </c>
      <c r="D33" s="8" t="str">
        <f t="shared" si="3"/>
        <v>党群部-宣传岗（高新）</v>
      </c>
      <c r="E33" s="7" t="str">
        <f>"202408240201"</f>
        <v>202408240201</v>
      </c>
      <c r="F33" s="7">
        <v>2</v>
      </c>
      <c r="G33" s="7">
        <v>1</v>
      </c>
      <c r="H33" s="7">
        <v>0</v>
      </c>
      <c r="I33" s="7">
        <v>0</v>
      </c>
      <c r="J33" s="7" t="s">
        <v>20</v>
      </c>
      <c r="K33" s="7"/>
      <c r="L33" s="7" t="s">
        <v>21</v>
      </c>
    </row>
    <row r="34" ht="29" customHeight="1" spans="1:12">
      <c r="A34" s="7">
        <v>32</v>
      </c>
      <c r="B34" s="7" t="str">
        <f>"张红丽"</f>
        <v>张红丽</v>
      </c>
      <c r="C34" s="7" t="s">
        <v>58</v>
      </c>
      <c r="D34" s="8" t="str">
        <f t="shared" si="3"/>
        <v>党群部-宣传岗（高新）</v>
      </c>
      <c r="E34" s="7" t="str">
        <f>"202408240309"</f>
        <v>202408240309</v>
      </c>
      <c r="F34" s="7">
        <v>3</v>
      </c>
      <c r="G34" s="7">
        <v>9</v>
      </c>
      <c r="H34" s="7">
        <v>0</v>
      </c>
      <c r="I34" s="7">
        <v>0</v>
      </c>
      <c r="J34" s="7" t="s">
        <v>20</v>
      </c>
      <c r="K34" s="7"/>
      <c r="L34" s="7" t="s">
        <v>21</v>
      </c>
    </row>
    <row r="35" ht="29" customHeight="1" spans="1:12">
      <c r="A35" s="7">
        <v>33</v>
      </c>
      <c r="B35" s="7" t="str">
        <f>"张婷"</f>
        <v>张婷</v>
      </c>
      <c r="C35" s="7" t="s">
        <v>59</v>
      </c>
      <c r="D35" s="8" t="str">
        <f t="shared" si="3"/>
        <v>党群部-宣传岗（高新）</v>
      </c>
      <c r="E35" s="7" t="str">
        <f>"202408240312"</f>
        <v>202408240312</v>
      </c>
      <c r="F35" s="7">
        <v>3</v>
      </c>
      <c r="G35" s="7">
        <v>12</v>
      </c>
      <c r="H35" s="7">
        <v>0</v>
      </c>
      <c r="I35" s="7">
        <v>0</v>
      </c>
      <c r="J35" s="7" t="s">
        <v>20</v>
      </c>
      <c r="K35" s="7"/>
      <c r="L35" s="7" t="s">
        <v>21</v>
      </c>
    </row>
    <row r="36" ht="29" customHeight="1" spans="1:12">
      <c r="A36" s="7">
        <v>34</v>
      </c>
      <c r="B36" s="7" t="str">
        <f>"赵丽"</f>
        <v>赵丽</v>
      </c>
      <c r="C36" s="7" t="s">
        <v>60</v>
      </c>
      <c r="D36" s="8" t="str">
        <f t="shared" si="3"/>
        <v>党群部-宣传岗（高新）</v>
      </c>
      <c r="E36" s="7" t="str">
        <f>"202408240327"</f>
        <v>202408240327</v>
      </c>
      <c r="F36" s="7">
        <v>3</v>
      </c>
      <c r="G36" s="7">
        <v>27</v>
      </c>
      <c r="H36" s="7">
        <v>0</v>
      </c>
      <c r="I36" s="7">
        <v>0</v>
      </c>
      <c r="J36" s="7" t="s">
        <v>20</v>
      </c>
      <c r="K36" s="7"/>
      <c r="L36" s="7" t="s">
        <v>21</v>
      </c>
    </row>
    <row r="37" ht="29" customHeight="1" spans="1:12">
      <c r="A37" s="7">
        <v>35</v>
      </c>
      <c r="B37" s="7" t="str">
        <f>"唐伊"</f>
        <v>唐伊</v>
      </c>
      <c r="C37" s="7" t="s">
        <v>61</v>
      </c>
      <c r="D37" s="8" t="str">
        <f t="shared" si="3"/>
        <v>党群部-宣传岗（高新）</v>
      </c>
      <c r="E37" s="7" t="str">
        <f>"202408240328"</f>
        <v>202408240328</v>
      </c>
      <c r="F37" s="7">
        <v>3</v>
      </c>
      <c r="G37" s="7">
        <v>28</v>
      </c>
      <c r="H37" s="7">
        <v>0</v>
      </c>
      <c r="I37" s="7">
        <v>0</v>
      </c>
      <c r="J37" s="7" t="s">
        <v>20</v>
      </c>
      <c r="K37" s="7"/>
      <c r="L37" s="7" t="s">
        <v>21</v>
      </c>
    </row>
  </sheetData>
  <mergeCells count="1">
    <mergeCell ref="A1:L1"/>
  </mergeCells>
  <pageMargins left="0.700694444444445" right="0.700694444444445" top="0.751388888888889" bottom="0.751388888888889" header="0.298611111111111" footer="0.298611111111111"/>
  <pageSetup paperSize="9" scale="65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5"/>
  <sheetViews>
    <sheetView workbookViewId="0">
      <selection activeCell="E2" sqref="E$1:E$1048576"/>
    </sheetView>
  </sheetViews>
  <sheetFormatPr defaultColWidth="9" defaultRowHeight="14.25"/>
  <cols>
    <col min="1" max="1" width="4.44166666666667" style="13" customWidth="1"/>
    <col min="2" max="2" width="7.44166666666667" style="13" customWidth="1"/>
    <col min="3" max="3" width="19.7333333333333" style="13" customWidth="1"/>
    <col min="4" max="4" width="26.225" style="14" customWidth="1"/>
    <col min="5" max="5" width="15.6666666666667" style="13" customWidth="1"/>
    <col min="6" max="9" width="9" style="13" hidden="1" customWidth="1"/>
    <col min="10" max="11" width="9" style="13"/>
    <col min="12" max="12" width="17.6666666666667" style="13" customWidth="1"/>
    <col min="13" max="16384" width="9" style="13"/>
  </cols>
  <sheetData>
    <row r="1" s="1" customFormat="1" ht="99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32" customHeight="1" spans="1:1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9" t="s">
        <v>10</v>
      </c>
      <c r="K2" s="5" t="s">
        <v>11</v>
      </c>
      <c r="L2" s="9" t="s">
        <v>12</v>
      </c>
    </row>
    <row r="3" ht="28" customHeight="1" spans="1:12">
      <c r="A3" s="11">
        <v>1</v>
      </c>
      <c r="B3" s="11" t="str">
        <f>"周琪"</f>
        <v>周琪</v>
      </c>
      <c r="C3" s="11" t="s">
        <v>62</v>
      </c>
      <c r="D3" s="12" t="str">
        <f>"党群部-综合管理岗（高新）"</f>
        <v>党群部-综合管理岗（高新）</v>
      </c>
      <c r="E3" s="11" t="str">
        <f>"202408240603"</f>
        <v>202408240603</v>
      </c>
      <c r="F3" s="11">
        <v>6</v>
      </c>
      <c r="G3" s="11">
        <v>3</v>
      </c>
      <c r="H3" s="11">
        <v>52</v>
      </c>
      <c r="I3" s="11">
        <v>20</v>
      </c>
      <c r="J3" s="11">
        <f>H3+I3</f>
        <v>72</v>
      </c>
      <c r="K3" s="11">
        <f>RANK(J3,J:J,0)</f>
        <v>1</v>
      </c>
      <c r="L3" s="11" t="s">
        <v>14</v>
      </c>
    </row>
    <row r="4" ht="28" customHeight="1" spans="1:12">
      <c r="A4" s="11">
        <v>2</v>
      </c>
      <c r="B4" s="11" t="str">
        <f>"曾令燕"</f>
        <v>曾令燕</v>
      </c>
      <c r="C4" s="11" t="s">
        <v>63</v>
      </c>
      <c r="D4" s="12" t="str">
        <f>"党群部-综合管理岗（高新）"</f>
        <v>党群部-综合管理岗（高新）</v>
      </c>
      <c r="E4" s="11" t="str">
        <f>"202408240237"</f>
        <v>202408240237</v>
      </c>
      <c r="F4" s="11">
        <v>2</v>
      </c>
      <c r="G4" s="11">
        <v>37</v>
      </c>
      <c r="H4" s="11">
        <v>41</v>
      </c>
      <c r="I4" s="11">
        <v>25</v>
      </c>
      <c r="J4" s="11">
        <f t="shared" ref="J4:J35" si="0">H4+I4</f>
        <v>66</v>
      </c>
      <c r="K4" s="11">
        <f t="shared" ref="K4:K35" si="1">RANK(J4,J:J,0)</f>
        <v>2</v>
      </c>
      <c r="L4" s="11" t="s">
        <v>14</v>
      </c>
    </row>
    <row r="5" ht="28" customHeight="1" spans="1:12">
      <c r="A5" s="11">
        <v>3</v>
      </c>
      <c r="B5" s="11" t="str">
        <f>"杨铭"</f>
        <v>杨铭</v>
      </c>
      <c r="C5" s="11" t="s">
        <v>64</v>
      </c>
      <c r="D5" s="12" t="str">
        <f t="shared" ref="D5:D14" si="2">"党群部-综合管理岗（高新）"</f>
        <v>党群部-综合管理岗（高新）</v>
      </c>
      <c r="E5" s="11" t="str">
        <f>"202408240628"</f>
        <v>202408240628</v>
      </c>
      <c r="F5" s="11">
        <v>6</v>
      </c>
      <c r="G5" s="11">
        <v>28</v>
      </c>
      <c r="H5" s="11">
        <v>47</v>
      </c>
      <c r="I5" s="11">
        <v>19</v>
      </c>
      <c r="J5" s="11">
        <f t="shared" si="0"/>
        <v>66</v>
      </c>
      <c r="K5" s="11">
        <f t="shared" si="1"/>
        <v>2</v>
      </c>
      <c r="L5" s="11" t="s">
        <v>14</v>
      </c>
    </row>
    <row r="6" ht="28" customHeight="1" spans="1:12">
      <c r="A6" s="11">
        <v>4</v>
      </c>
      <c r="B6" s="11" t="str">
        <f>"刘海"</f>
        <v>刘海</v>
      </c>
      <c r="C6" s="11" t="s">
        <v>65</v>
      </c>
      <c r="D6" s="12" t="str">
        <f t="shared" si="2"/>
        <v>党群部-综合管理岗（高新）</v>
      </c>
      <c r="E6" s="11" t="str">
        <f>"202408240814"</f>
        <v>202408240814</v>
      </c>
      <c r="F6" s="11">
        <v>8</v>
      </c>
      <c r="G6" s="11">
        <v>14</v>
      </c>
      <c r="H6" s="11">
        <v>50</v>
      </c>
      <c r="I6" s="11">
        <v>15</v>
      </c>
      <c r="J6" s="11">
        <f t="shared" si="0"/>
        <v>65</v>
      </c>
      <c r="K6" s="11">
        <f t="shared" si="1"/>
        <v>4</v>
      </c>
      <c r="L6" s="11" t="s">
        <v>14</v>
      </c>
    </row>
    <row r="7" ht="28" customHeight="1" spans="1:12">
      <c r="A7" s="11">
        <v>5</v>
      </c>
      <c r="B7" s="11" t="str">
        <f>"李金杰"</f>
        <v>李金杰</v>
      </c>
      <c r="C7" s="11" t="s">
        <v>66</v>
      </c>
      <c r="D7" s="12" t="str">
        <f t="shared" si="2"/>
        <v>党群部-综合管理岗（高新）</v>
      </c>
      <c r="E7" s="11" t="str">
        <f>"202408240712"</f>
        <v>202408240712</v>
      </c>
      <c r="F7" s="11">
        <v>7</v>
      </c>
      <c r="G7" s="11">
        <v>12</v>
      </c>
      <c r="H7" s="11">
        <v>48</v>
      </c>
      <c r="I7" s="11">
        <v>16</v>
      </c>
      <c r="J7" s="11">
        <f t="shared" si="0"/>
        <v>64</v>
      </c>
      <c r="K7" s="11">
        <f t="shared" si="1"/>
        <v>5</v>
      </c>
      <c r="L7" s="11" t="s">
        <v>14</v>
      </c>
    </row>
    <row r="8" ht="28" customHeight="1" spans="1:12">
      <c r="A8" s="11">
        <v>6</v>
      </c>
      <c r="B8" s="11" t="str">
        <f>"刘芯雨"</f>
        <v>刘芯雨</v>
      </c>
      <c r="C8" s="11" t="s">
        <v>67</v>
      </c>
      <c r="D8" s="12" t="str">
        <f t="shared" si="2"/>
        <v>党群部-综合管理岗（高新）</v>
      </c>
      <c r="E8" s="11" t="str">
        <f>"202408240825"</f>
        <v>202408240825</v>
      </c>
      <c r="F8" s="11">
        <v>8</v>
      </c>
      <c r="G8" s="11">
        <v>25</v>
      </c>
      <c r="H8" s="11">
        <v>48</v>
      </c>
      <c r="I8" s="11">
        <v>15</v>
      </c>
      <c r="J8" s="11">
        <f t="shared" si="0"/>
        <v>63</v>
      </c>
      <c r="K8" s="11">
        <f t="shared" si="1"/>
        <v>6</v>
      </c>
      <c r="L8" s="11" t="s">
        <v>14</v>
      </c>
    </row>
    <row r="9" ht="28" customHeight="1" spans="1:12">
      <c r="A9" s="11">
        <v>7</v>
      </c>
      <c r="B9" s="11" t="str">
        <f>"龚珊微"</f>
        <v>龚珊微</v>
      </c>
      <c r="C9" s="11" t="s">
        <v>68</v>
      </c>
      <c r="D9" s="12" t="str">
        <f t="shared" si="2"/>
        <v>党群部-综合管理岗（高新）</v>
      </c>
      <c r="E9" s="11" t="str">
        <f>"202408240529"</f>
        <v>202408240529</v>
      </c>
      <c r="F9" s="11">
        <v>5</v>
      </c>
      <c r="G9" s="11">
        <v>29</v>
      </c>
      <c r="H9" s="11">
        <v>38</v>
      </c>
      <c r="I9" s="11">
        <v>23</v>
      </c>
      <c r="J9" s="11">
        <f t="shared" si="0"/>
        <v>61</v>
      </c>
      <c r="K9" s="11">
        <f t="shared" si="1"/>
        <v>7</v>
      </c>
      <c r="L9" s="11" t="s">
        <v>14</v>
      </c>
    </row>
    <row r="10" ht="28" customHeight="1" spans="1:12">
      <c r="A10" s="11">
        <v>8</v>
      </c>
      <c r="B10" s="11" t="str">
        <f>"何轶"</f>
        <v>何轶</v>
      </c>
      <c r="C10" s="11" t="s">
        <v>69</v>
      </c>
      <c r="D10" s="12" t="str">
        <f t="shared" si="2"/>
        <v>党群部-综合管理岗（高新）</v>
      </c>
      <c r="E10" s="11" t="str">
        <f>"202408240129"</f>
        <v>202408240129</v>
      </c>
      <c r="F10" s="11">
        <v>1</v>
      </c>
      <c r="G10" s="11">
        <v>29</v>
      </c>
      <c r="H10" s="11">
        <v>46</v>
      </c>
      <c r="I10" s="11">
        <v>14</v>
      </c>
      <c r="J10" s="11">
        <f t="shared" si="0"/>
        <v>60</v>
      </c>
      <c r="K10" s="11">
        <f t="shared" si="1"/>
        <v>8</v>
      </c>
      <c r="L10" s="11" t="s">
        <v>14</v>
      </c>
    </row>
    <row r="11" ht="28" customHeight="1" spans="1:12">
      <c r="A11" s="11">
        <v>9</v>
      </c>
      <c r="B11" s="11" t="str">
        <f>"江宇"</f>
        <v>江宇</v>
      </c>
      <c r="C11" s="11" t="s">
        <v>70</v>
      </c>
      <c r="D11" s="12" t="str">
        <f t="shared" si="2"/>
        <v>党群部-综合管理岗（高新）</v>
      </c>
      <c r="E11" s="11" t="str">
        <f>"202408240630"</f>
        <v>202408240630</v>
      </c>
      <c r="F11" s="11">
        <v>6</v>
      </c>
      <c r="G11" s="11">
        <v>30</v>
      </c>
      <c r="H11" s="11">
        <v>42</v>
      </c>
      <c r="I11" s="11">
        <v>18</v>
      </c>
      <c r="J11" s="11">
        <f t="shared" si="0"/>
        <v>60</v>
      </c>
      <c r="K11" s="11">
        <f t="shared" si="1"/>
        <v>8</v>
      </c>
      <c r="L11" s="11" t="s">
        <v>14</v>
      </c>
    </row>
    <row r="12" ht="28" customHeight="1" spans="1:12">
      <c r="A12" s="11">
        <v>10</v>
      </c>
      <c r="B12" s="11" t="str">
        <f>"阳路"</f>
        <v>阳路</v>
      </c>
      <c r="C12" s="11" t="s">
        <v>71</v>
      </c>
      <c r="D12" s="12" t="str">
        <f t="shared" si="2"/>
        <v>党群部-综合管理岗（高新）</v>
      </c>
      <c r="E12" s="11" t="str">
        <f>"202408240731"</f>
        <v>202408240731</v>
      </c>
      <c r="F12" s="11">
        <v>7</v>
      </c>
      <c r="G12" s="11">
        <v>31</v>
      </c>
      <c r="H12" s="11">
        <v>43</v>
      </c>
      <c r="I12" s="11">
        <v>17</v>
      </c>
      <c r="J12" s="11">
        <f t="shared" si="0"/>
        <v>60</v>
      </c>
      <c r="K12" s="11">
        <f t="shared" si="1"/>
        <v>8</v>
      </c>
      <c r="L12" s="11" t="s">
        <v>14</v>
      </c>
    </row>
    <row r="13" ht="28" customHeight="1" spans="1:12">
      <c r="A13" s="11">
        <v>11</v>
      </c>
      <c r="B13" s="11" t="str">
        <f>"文栊玉"</f>
        <v>文栊玉</v>
      </c>
      <c r="C13" s="11" t="s">
        <v>72</v>
      </c>
      <c r="D13" s="12" t="str">
        <f t="shared" si="2"/>
        <v>党群部-综合管理岗（高新）</v>
      </c>
      <c r="E13" s="11" t="str">
        <f>"202408240616"</f>
        <v>202408240616</v>
      </c>
      <c r="F13" s="11">
        <v>6</v>
      </c>
      <c r="G13" s="11">
        <v>16</v>
      </c>
      <c r="H13" s="11">
        <v>41</v>
      </c>
      <c r="I13" s="11">
        <v>17.5</v>
      </c>
      <c r="J13" s="11">
        <f t="shared" si="0"/>
        <v>58.5</v>
      </c>
      <c r="K13" s="11">
        <f t="shared" si="1"/>
        <v>11</v>
      </c>
      <c r="L13" s="11" t="s">
        <v>14</v>
      </c>
    </row>
    <row r="14" ht="28" customHeight="1" spans="1:12">
      <c r="A14" s="11">
        <v>12</v>
      </c>
      <c r="B14" s="11" t="str">
        <f>"宋茂林"</f>
        <v>宋茂林</v>
      </c>
      <c r="C14" s="11" t="s">
        <v>73</v>
      </c>
      <c r="D14" s="12" t="str">
        <f t="shared" si="2"/>
        <v>党群部-综合管理岗（高新）</v>
      </c>
      <c r="E14" s="11" t="str">
        <f>"202408240632"</f>
        <v>202408240632</v>
      </c>
      <c r="F14" s="11">
        <v>6</v>
      </c>
      <c r="G14" s="11">
        <v>32</v>
      </c>
      <c r="H14" s="11">
        <v>43</v>
      </c>
      <c r="I14" s="11">
        <v>15</v>
      </c>
      <c r="J14" s="11">
        <f t="shared" si="0"/>
        <v>58</v>
      </c>
      <c r="K14" s="11">
        <f t="shared" si="1"/>
        <v>12</v>
      </c>
      <c r="L14" s="11" t="s">
        <v>14</v>
      </c>
    </row>
    <row r="15" ht="28" customHeight="1" spans="1:12">
      <c r="A15" s="11">
        <v>13</v>
      </c>
      <c r="B15" s="11" t="str">
        <f>"张朝君"</f>
        <v>张朝君</v>
      </c>
      <c r="C15" s="11" t="s">
        <v>74</v>
      </c>
      <c r="D15" s="12" t="str">
        <f t="shared" ref="D15:D24" si="3">"党群部-综合管理岗（高新）"</f>
        <v>党群部-综合管理岗（高新）</v>
      </c>
      <c r="E15" s="11" t="str">
        <f>"202408240705"</f>
        <v>202408240705</v>
      </c>
      <c r="F15" s="11">
        <v>7</v>
      </c>
      <c r="G15" s="11">
        <v>5</v>
      </c>
      <c r="H15" s="11">
        <v>42</v>
      </c>
      <c r="I15" s="11">
        <v>16</v>
      </c>
      <c r="J15" s="11">
        <f t="shared" si="0"/>
        <v>58</v>
      </c>
      <c r="K15" s="11">
        <f t="shared" si="1"/>
        <v>12</v>
      </c>
      <c r="L15" s="11" t="s">
        <v>14</v>
      </c>
    </row>
    <row r="16" ht="28" customHeight="1" spans="1:12">
      <c r="A16" s="11">
        <v>14</v>
      </c>
      <c r="B16" s="11" t="str">
        <f>"熊建朝"</f>
        <v>熊建朝</v>
      </c>
      <c r="C16" s="11" t="s">
        <v>75</v>
      </c>
      <c r="D16" s="12" t="str">
        <f t="shared" si="3"/>
        <v>党群部-综合管理岗（高新）</v>
      </c>
      <c r="E16" s="11" t="str">
        <f>"202408240906"</f>
        <v>202408240906</v>
      </c>
      <c r="F16" s="11">
        <v>9</v>
      </c>
      <c r="G16" s="11">
        <v>6</v>
      </c>
      <c r="H16" s="11">
        <v>47</v>
      </c>
      <c r="I16" s="11">
        <v>11</v>
      </c>
      <c r="J16" s="11">
        <f t="shared" si="0"/>
        <v>58</v>
      </c>
      <c r="K16" s="11">
        <f t="shared" si="1"/>
        <v>12</v>
      </c>
      <c r="L16" s="11" t="s">
        <v>14</v>
      </c>
    </row>
    <row r="17" ht="28" customHeight="1" spans="1:12">
      <c r="A17" s="11">
        <v>15</v>
      </c>
      <c r="B17" s="11" t="str">
        <f>"邹凤皎"</f>
        <v>邹凤皎</v>
      </c>
      <c r="C17" s="11" t="s">
        <v>76</v>
      </c>
      <c r="D17" s="12" t="str">
        <f t="shared" si="3"/>
        <v>党群部-综合管理岗（高新）</v>
      </c>
      <c r="E17" s="11" t="str">
        <f>"202408240124"</f>
        <v>202408240124</v>
      </c>
      <c r="F17" s="11">
        <v>1</v>
      </c>
      <c r="G17" s="11">
        <v>24</v>
      </c>
      <c r="H17" s="11">
        <v>36</v>
      </c>
      <c r="I17" s="11">
        <v>21</v>
      </c>
      <c r="J17" s="11">
        <f t="shared" si="0"/>
        <v>57</v>
      </c>
      <c r="K17" s="11">
        <f t="shared" si="1"/>
        <v>15</v>
      </c>
      <c r="L17" s="11" t="s">
        <v>14</v>
      </c>
    </row>
    <row r="18" ht="28" customHeight="1" spans="1:12">
      <c r="A18" s="11">
        <v>16</v>
      </c>
      <c r="B18" s="11" t="str">
        <f>"温露"</f>
        <v>温露</v>
      </c>
      <c r="C18" s="11" t="s">
        <v>77</v>
      </c>
      <c r="D18" s="12" t="str">
        <f t="shared" si="3"/>
        <v>党群部-综合管理岗（高新）</v>
      </c>
      <c r="E18" s="11" t="str">
        <f>"202408240135"</f>
        <v>202408240135</v>
      </c>
      <c r="F18" s="11">
        <v>1</v>
      </c>
      <c r="G18" s="11">
        <v>35</v>
      </c>
      <c r="H18" s="11">
        <v>46</v>
      </c>
      <c r="I18" s="11">
        <v>11</v>
      </c>
      <c r="J18" s="11">
        <f t="shared" si="0"/>
        <v>57</v>
      </c>
      <c r="K18" s="11">
        <f t="shared" si="1"/>
        <v>15</v>
      </c>
      <c r="L18" s="11" t="s">
        <v>14</v>
      </c>
    </row>
    <row r="19" ht="28" customHeight="1" spans="1:12">
      <c r="A19" s="11">
        <v>17</v>
      </c>
      <c r="B19" s="11" t="str">
        <f>"祝启迪"</f>
        <v>祝启迪</v>
      </c>
      <c r="C19" s="11" t="s">
        <v>78</v>
      </c>
      <c r="D19" s="12" t="str">
        <f t="shared" si="3"/>
        <v>党群部-综合管理岗（高新）</v>
      </c>
      <c r="E19" s="11" t="str">
        <f>"202408240809"</f>
        <v>202408240809</v>
      </c>
      <c r="F19" s="11">
        <v>8</v>
      </c>
      <c r="G19" s="11">
        <v>9</v>
      </c>
      <c r="H19" s="11">
        <v>35</v>
      </c>
      <c r="I19" s="11">
        <v>22</v>
      </c>
      <c r="J19" s="11">
        <f t="shared" si="0"/>
        <v>57</v>
      </c>
      <c r="K19" s="11">
        <f t="shared" si="1"/>
        <v>15</v>
      </c>
      <c r="L19" s="11" t="s">
        <v>14</v>
      </c>
    </row>
    <row r="20" ht="28" customHeight="1" spans="1:12">
      <c r="A20" s="11">
        <v>18</v>
      </c>
      <c r="B20" s="11" t="str">
        <f>"庄书哲"</f>
        <v>庄书哲</v>
      </c>
      <c r="C20" s="11" t="s">
        <v>79</v>
      </c>
      <c r="D20" s="12" t="str">
        <f t="shared" si="3"/>
        <v>党群部-综合管理岗（高新）</v>
      </c>
      <c r="E20" s="11" t="str">
        <f>"202408240133"</f>
        <v>202408240133</v>
      </c>
      <c r="F20" s="11">
        <v>1</v>
      </c>
      <c r="G20" s="11">
        <v>33</v>
      </c>
      <c r="H20" s="11">
        <v>36</v>
      </c>
      <c r="I20" s="11">
        <v>20</v>
      </c>
      <c r="J20" s="11">
        <f t="shared" si="0"/>
        <v>56</v>
      </c>
      <c r="K20" s="11">
        <f t="shared" si="1"/>
        <v>18</v>
      </c>
      <c r="L20" s="11" t="s">
        <v>21</v>
      </c>
    </row>
    <row r="21" ht="28" customHeight="1" spans="1:12">
      <c r="A21" s="11">
        <v>19</v>
      </c>
      <c r="B21" s="11" t="str">
        <f>"刘芳"</f>
        <v>刘芳</v>
      </c>
      <c r="C21" s="11" t="s">
        <v>80</v>
      </c>
      <c r="D21" s="12" t="str">
        <f t="shared" si="3"/>
        <v>党群部-综合管理岗（高新）</v>
      </c>
      <c r="E21" s="11" t="str">
        <f>"202408240227"</f>
        <v>202408240227</v>
      </c>
      <c r="F21" s="11">
        <v>2</v>
      </c>
      <c r="G21" s="11">
        <v>27</v>
      </c>
      <c r="H21" s="11">
        <v>41</v>
      </c>
      <c r="I21" s="11">
        <v>15</v>
      </c>
      <c r="J21" s="11">
        <f t="shared" si="0"/>
        <v>56</v>
      </c>
      <c r="K21" s="11">
        <f t="shared" si="1"/>
        <v>18</v>
      </c>
      <c r="L21" s="11" t="s">
        <v>21</v>
      </c>
    </row>
    <row r="22" ht="28" customHeight="1" spans="1:12">
      <c r="A22" s="11">
        <v>20</v>
      </c>
      <c r="B22" s="11" t="str">
        <f>"陈欣"</f>
        <v>陈欣</v>
      </c>
      <c r="C22" s="11" t="s">
        <v>81</v>
      </c>
      <c r="D22" s="12" t="str">
        <f t="shared" si="3"/>
        <v>党群部-综合管理岗（高新）</v>
      </c>
      <c r="E22" s="11" t="str">
        <f>"202408240511"</f>
        <v>202408240511</v>
      </c>
      <c r="F22" s="11">
        <v>5</v>
      </c>
      <c r="G22" s="11">
        <v>11</v>
      </c>
      <c r="H22" s="11">
        <v>35</v>
      </c>
      <c r="I22" s="11">
        <v>21</v>
      </c>
      <c r="J22" s="11">
        <f t="shared" si="0"/>
        <v>56</v>
      </c>
      <c r="K22" s="11">
        <f t="shared" si="1"/>
        <v>18</v>
      </c>
      <c r="L22" s="11" t="s">
        <v>21</v>
      </c>
    </row>
    <row r="23" ht="28" customHeight="1" spans="1:12">
      <c r="A23" s="11">
        <v>21</v>
      </c>
      <c r="B23" s="11" t="str">
        <f>"罗青青"</f>
        <v>罗青青</v>
      </c>
      <c r="C23" s="11" t="s">
        <v>82</v>
      </c>
      <c r="D23" s="12" t="str">
        <f t="shared" si="3"/>
        <v>党群部-综合管理岗（高新）</v>
      </c>
      <c r="E23" s="11" t="str">
        <f>"202408240239"</f>
        <v>202408240239</v>
      </c>
      <c r="F23" s="11">
        <v>2</v>
      </c>
      <c r="G23" s="11">
        <v>39</v>
      </c>
      <c r="H23" s="11">
        <v>44</v>
      </c>
      <c r="I23" s="11">
        <v>11</v>
      </c>
      <c r="J23" s="11">
        <f t="shared" si="0"/>
        <v>55</v>
      </c>
      <c r="K23" s="11">
        <f t="shared" si="1"/>
        <v>21</v>
      </c>
      <c r="L23" s="11" t="s">
        <v>21</v>
      </c>
    </row>
    <row r="24" ht="28" customHeight="1" spans="1:12">
      <c r="A24" s="11">
        <v>22</v>
      </c>
      <c r="B24" s="11" t="str">
        <f>"张德金"</f>
        <v>张德金</v>
      </c>
      <c r="C24" s="11" t="s">
        <v>83</v>
      </c>
      <c r="D24" s="12" t="str">
        <f t="shared" si="3"/>
        <v>党群部-综合管理岗（高新）</v>
      </c>
      <c r="E24" s="11" t="str">
        <f>"202408240306"</f>
        <v>202408240306</v>
      </c>
      <c r="F24" s="11">
        <v>3</v>
      </c>
      <c r="G24" s="11">
        <v>6</v>
      </c>
      <c r="H24" s="11">
        <v>39</v>
      </c>
      <c r="I24" s="11">
        <v>16</v>
      </c>
      <c r="J24" s="11">
        <f t="shared" si="0"/>
        <v>55</v>
      </c>
      <c r="K24" s="11">
        <f t="shared" si="1"/>
        <v>21</v>
      </c>
      <c r="L24" s="11" t="s">
        <v>21</v>
      </c>
    </row>
    <row r="25" ht="28" customHeight="1" spans="1:12">
      <c r="A25" s="11">
        <v>23</v>
      </c>
      <c r="B25" s="11" t="str">
        <f>"陈文佳"</f>
        <v>陈文佳</v>
      </c>
      <c r="C25" s="11" t="s">
        <v>84</v>
      </c>
      <c r="D25" s="12" t="str">
        <f t="shared" ref="D25:D34" si="4">"党群部-综合管理岗（高新）"</f>
        <v>党群部-综合管理岗（高新）</v>
      </c>
      <c r="E25" s="11" t="str">
        <f>"202408240410"</f>
        <v>202408240410</v>
      </c>
      <c r="F25" s="11">
        <v>4</v>
      </c>
      <c r="G25" s="11">
        <v>10</v>
      </c>
      <c r="H25" s="11">
        <v>47</v>
      </c>
      <c r="I25" s="11">
        <v>8</v>
      </c>
      <c r="J25" s="11">
        <f t="shared" si="0"/>
        <v>55</v>
      </c>
      <c r="K25" s="11">
        <f t="shared" si="1"/>
        <v>21</v>
      </c>
      <c r="L25" s="11" t="s">
        <v>21</v>
      </c>
    </row>
    <row r="26" ht="28" customHeight="1" spans="1:12">
      <c r="A26" s="11">
        <v>24</v>
      </c>
      <c r="B26" s="11" t="str">
        <f>"胡攀红"</f>
        <v>胡攀红</v>
      </c>
      <c r="C26" s="11" t="s">
        <v>85</v>
      </c>
      <c r="D26" s="12" t="str">
        <f t="shared" si="4"/>
        <v>党群部-综合管理岗（高新）</v>
      </c>
      <c r="E26" s="11" t="str">
        <f>"202408240609"</f>
        <v>202408240609</v>
      </c>
      <c r="F26" s="11">
        <v>6</v>
      </c>
      <c r="G26" s="11">
        <v>9</v>
      </c>
      <c r="H26" s="11">
        <v>40</v>
      </c>
      <c r="I26" s="11">
        <v>15</v>
      </c>
      <c r="J26" s="11">
        <f t="shared" si="0"/>
        <v>55</v>
      </c>
      <c r="K26" s="11">
        <f t="shared" si="1"/>
        <v>21</v>
      </c>
      <c r="L26" s="11" t="s">
        <v>21</v>
      </c>
    </row>
    <row r="27" ht="28" customHeight="1" spans="1:12">
      <c r="A27" s="11">
        <v>25</v>
      </c>
      <c r="B27" s="11" t="str">
        <f>"李茂丽"</f>
        <v>李茂丽</v>
      </c>
      <c r="C27" s="11" t="s">
        <v>86</v>
      </c>
      <c r="D27" s="12" t="str">
        <f t="shared" si="4"/>
        <v>党群部-综合管理岗（高新）</v>
      </c>
      <c r="E27" s="11" t="str">
        <f>"202408240709"</f>
        <v>202408240709</v>
      </c>
      <c r="F27" s="11">
        <v>7</v>
      </c>
      <c r="G27" s="11">
        <v>9</v>
      </c>
      <c r="H27" s="11">
        <v>37</v>
      </c>
      <c r="I27" s="11">
        <v>18</v>
      </c>
      <c r="J27" s="11">
        <f t="shared" si="0"/>
        <v>55</v>
      </c>
      <c r="K27" s="11">
        <f t="shared" si="1"/>
        <v>21</v>
      </c>
      <c r="L27" s="11" t="s">
        <v>21</v>
      </c>
    </row>
    <row r="28" ht="28" customHeight="1" spans="1:12">
      <c r="A28" s="11">
        <v>26</v>
      </c>
      <c r="B28" s="11" t="str">
        <f>"胡建"</f>
        <v>胡建</v>
      </c>
      <c r="C28" s="11" t="s">
        <v>87</v>
      </c>
      <c r="D28" s="12" t="str">
        <f t="shared" si="4"/>
        <v>党群部-综合管理岗（高新）</v>
      </c>
      <c r="E28" s="11" t="str">
        <f>"202408240808"</f>
        <v>202408240808</v>
      </c>
      <c r="F28" s="11">
        <v>8</v>
      </c>
      <c r="G28" s="11">
        <v>8</v>
      </c>
      <c r="H28" s="11">
        <v>38</v>
      </c>
      <c r="I28" s="11">
        <v>17</v>
      </c>
      <c r="J28" s="11">
        <f t="shared" si="0"/>
        <v>55</v>
      </c>
      <c r="K28" s="11">
        <f t="shared" si="1"/>
        <v>21</v>
      </c>
      <c r="L28" s="11" t="s">
        <v>21</v>
      </c>
    </row>
    <row r="29" ht="28" customHeight="1" spans="1:12">
      <c r="A29" s="11">
        <v>27</v>
      </c>
      <c r="B29" s="11" t="str">
        <f>"聂凡迪"</f>
        <v>聂凡迪</v>
      </c>
      <c r="C29" s="11" t="s">
        <v>88</v>
      </c>
      <c r="D29" s="12" t="str">
        <f t="shared" si="4"/>
        <v>党群部-综合管理岗（高新）</v>
      </c>
      <c r="E29" s="11" t="str">
        <f>"202408240829"</f>
        <v>202408240829</v>
      </c>
      <c r="F29" s="11">
        <v>8</v>
      </c>
      <c r="G29" s="11">
        <v>29</v>
      </c>
      <c r="H29" s="11">
        <v>40</v>
      </c>
      <c r="I29" s="11">
        <v>15</v>
      </c>
      <c r="J29" s="11">
        <f t="shared" si="0"/>
        <v>55</v>
      </c>
      <c r="K29" s="11">
        <f t="shared" si="1"/>
        <v>21</v>
      </c>
      <c r="L29" s="11" t="s">
        <v>21</v>
      </c>
    </row>
    <row r="30" ht="28" customHeight="1" spans="1:12">
      <c r="A30" s="11">
        <v>28</v>
      </c>
      <c r="B30" s="11" t="str">
        <f>"肖雪慧"</f>
        <v>肖雪慧</v>
      </c>
      <c r="C30" s="11" t="s">
        <v>89</v>
      </c>
      <c r="D30" s="12" t="str">
        <f t="shared" si="4"/>
        <v>党群部-综合管理岗（高新）</v>
      </c>
      <c r="E30" s="11" t="str">
        <f>"202408240504"</f>
        <v>202408240504</v>
      </c>
      <c r="F30" s="11">
        <v>5</v>
      </c>
      <c r="G30" s="11">
        <v>4</v>
      </c>
      <c r="H30" s="11">
        <v>37</v>
      </c>
      <c r="I30" s="11">
        <v>17</v>
      </c>
      <c r="J30" s="11">
        <f t="shared" si="0"/>
        <v>54</v>
      </c>
      <c r="K30" s="11">
        <f t="shared" si="1"/>
        <v>28</v>
      </c>
      <c r="L30" s="11" t="s">
        <v>21</v>
      </c>
    </row>
    <row r="31" ht="28" customHeight="1" spans="1:12">
      <c r="A31" s="11">
        <v>29</v>
      </c>
      <c r="B31" s="11" t="str">
        <f>"李龙"</f>
        <v>李龙</v>
      </c>
      <c r="C31" s="11" t="s">
        <v>90</v>
      </c>
      <c r="D31" s="12" t="str">
        <f t="shared" si="4"/>
        <v>党群部-综合管理岗（高新）</v>
      </c>
      <c r="E31" s="11" t="str">
        <f>"202408240536"</f>
        <v>202408240536</v>
      </c>
      <c r="F31" s="11">
        <v>5</v>
      </c>
      <c r="G31" s="11">
        <v>36</v>
      </c>
      <c r="H31" s="11">
        <v>37</v>
      </c>
      <c r="I31" s="11">
        <v>17</v>
      </c>
      <c r="J31" s="11">
        <f t="shared" si="0"/>
        <v>54</v>
      </c>
      <c r="K31" s="11">
        <f t="shared" si="1"/>
        <v>28</v>
      </c>
      <c r="L31" s="11" t="s">
        <v>21</v>
      </c>
    </row>
    <row r="32" ht="28" customHeight="1" spans="1:12">
      <c r="A32" s="11">
        <v>30</v>
      </c>
      <c r="B32" s="11" t="str">
        <f>"王利萍"</f>
        <v>王利萍</v>
      </c>
      <c r="C32" s="11" t="s">
        <v>91</v>
      </c>
      <c r="D32" s="12" t="str">
        <f t="shared" si="4"/>
        <v>党群部-综合管理岗（高新）</v>
      </c>
      <c r="E32" s="11" t="str">
        <f>"202408240723"</f>
        <v>202408240723</v>
      </c>
      <c r="F32" s="11">
        <v>7</v>
      </c>
      <c r="G32" s="11">
        <v>23</v>
      </c>
      <c r="H32" s="11">
        <v>39</v>
      </c>
      <c r="I32" s="11">
        <v>15</v>
      </c>
      <c r="J32" s="11">
        <f t="shared" si="0"/>
        <v>54</v>
      </c>
      <c r="K32" s="11">
        <f t="shared" si="1"/>
        <v>28</v>
      </c>
      <c r="L32" s="11" t="s">
        <v>21</v>
      </c>
    </row>
    <row r="33" ht="28" customHeight="1" spans="1:12">
      <c r="A33" s="11">
        <v>31</v>
      </c>
      <c r="B33" s="11" t="str">
        <f>"魏馨悦"</f>
        <v>魏馨悦</v>
      </c>
      <c r="C33" s="11" t="s">
        <v>92</v>
      </c>
      <c r="D33" s="12" t="str">
        <f t="shared" si="4"/>
        <v>党群部-综合管理岗（高新）</v>
      </c>
      <c r="E33" s="11" t="str">
        <f>"202408240807"</f>
        <v>202408240807</v>
      </c>
      <c r="F33" s="11">
        <v>8</v>
      </c>
      <c r="G33" s="11">
        <v>7</v>
      </c>
      <c r="H33" s="11">
        <v>36</v>
      </c>
      <c r="I33" s="11">
        <v>17</v>
      </c>
      <c r="J33" s="11">
        <f t="shared" si="0"/>
        <v>53</v>
      </c>
      <c r="K33" s="11">
        <f t="shared" si="1"/>
        <v>31</v>
      </c>
      <c r="L33" s="11" t="s">
        <v>21</v>
      </c>
    </row>
    <row r="34" ht="28" customHeight="1" spans="1:12">
      <c r="A34" s="11">
        <v>32</v>
      </c>
      <c r="B34" s="11" t="str">
        <f>"陈敏"</f>
        <v>陈敏</v>
      </c>
      <c r="C34" s="11" t="s">
        <v>93</v>
      </c>
      <c r="D34" s="12" t="str">
        <f t="shared" si="4"/>
        <v>党群部-综合管理岗（高新）</v>
      </c>
      <c r="E34" s="11" t="str">
        <f>"202408240631"</f>
        <v>202408240631</v>
      </c>
      <c r="F34" s="11">
        <v>6</v>
      </c>
      <c r="G34" s="11">
        <v>31</v>
      </c>
      <c r="H34" s="11">
        <v>35</v>
      </c>
      <c r="I34" s="11">
        <v>17</v>
      </c>
      <c r="J34" s="11">
        <f t="shared" si="0"/>
        <v>52</v>
      </c>
      <c r="K34" s="11">
        <f t="shared" si="1"/>
        <v>32</v>
      </c>
      <c r="L34" s="11" t="s">
        <v>21</v>
      </c>
    </row>
    <row r="35" ht="28" customHeight="1" spans="1:12">
      <c r="A35" s="11">
        <v>33</v>
      </c>
      <c r="B35" s="11" t="str">
        <f>"卓瑀婷"</f>
        <v>卓瑀婷</v>
      </c>
      <c r="C35" s="11" t="s">
        <v>94</v>
      </c>
      <c r="D35" s="12" t="str">
        <f t="shared" ref="D35:D44" si="5">"党群部-综合管理岗（高新）"</f>
        <v>党群部-综合管理岗（高新）</v>
      </c>
      <c r="E35" s="11" t="str">
        <f>"202408240640"</f>
        <v>202408240640</v>
      </c>
      <c r="F35" s="11">
        <v>6</v>
      </c>
      <c r="G35" s="11">
        <v>40</v>
      </c>
      <c r="H35" s="11">
        <v>42</v>
      </c>
      <c r="I35" s="11">
        <v>10</v>
      </c>
      <c r="J35" s="11">
        <f t="shared" si="0"/>
        <v>52</v>
      </c>
      <c r="K35" s="11">
        <f t="shared" si="1"/>
        <v>32</v>
      </c>
      <c r="L35" s="11" t="s">
        <v>21</v>
      </c>
    </row>
    <row r="36" ht="28" customHeight="1" spans="1:12">
      <c r="A36" s="11">
        <v>34</v>
      </c>
      <c r="B36" s="11" t="str">
        <f>"杨馨"</f>
        <v>杨馨</v>
      </c>
      <c r="C36" s="11" t="s">
        <v>95</v>
      </c>
      <c r="D36" s="12" t="str">
        <f t="shared" si="5"/>
        <v>党群部-综合管理岗（高新）</v>
      </c>
      <c r="E36" s="11" t="str">
        <f>"202408240840"</f>
        <v>202408240840</v>
      </c>
      <c r="F36" s="11">
        <v>8</v>
      </c>
      <c r="G36" s="11">
        <v>40</v>
      </c>
      <c r="H36" s="11">
        <v>39</v>
      </c>
      <c r="I36" s="11">
        <v>13</v>
      </c>
      <c r="J36" s="11">
        <f t="shared" ref="J36:J67" si="6">H36+I36</f>
        <v>52</v>
      </c>
      <c r="K36" s="11">
        <f t="shared" ref="K36:K67" si="7">RANK(J36,J:J,0)</f>
        <v>32</v>
      </c>
      <c r="L36" s="11" t="s">
        <v>21</v>
      </c>
    </row>
    <row r="37" ht="28" customHeight="1" spans="1:12">
      <c r="A37" s="11">
        <v>35</v>
      </c>
      <c r="B37" s="11" t="str">
        <f>"陈泽洋"</f>
        <v>陈泽洋</v>
      </c>
      <c r="C37" s="11" t="s">
        <v>96</v>
      </c>
      <c r="D37" s="12" t="str">
        <f t="shared" si="5"/>
        <v>党群部-综合管理岗（高新）</v>
      </c>
      <c r="E37" s="11" t="str">
        <f>"202408240925"</f>
        <v>202408240925</v>
      </c>
      <c r="F37" s="11">
        <v>9</v>
      </c>
      <c r="G37" s="11">
        <v>25</v>
      </c>
      <c r="H37" s="11">
        <v>38</v>
      </c>
      <c r="I37" s="11">
        <v>14</v>
      </c>
      <c r="J37" s="11">
        <f t="shared" si="6"/>
        <v>52</v>
      </c>
      <c r="K37" s="11">
        <f t="shared" si="7"/>
        <v>32</v>
      </c>
      <c r="L37" s="11" t="s">
        <v>21</v>
      </c>
    </row>
    <row r="38" ht="28" customHeight="1" spans="1:12">
      <c r="A38" s="11">
        <v>36</v>
      </c>
      <c r="B38" s="11" t="str">
        <f>"张悦"</f>
        <v>张悦</v>
      </c>
      <c r="C38" s="11" t="s">
        <v>16</v>
      </c>
      <c r="D38" s="12" t="str">
        <f t="shared" si="5"/>
        <v>党群部-综合管理岗（高新）</v>
      </c>
      <c r="E38" s="11" t="str">
        <f>"202408240505"</f>
        <v>202408240505</v>
      </c>
      <c r="F38" s="11">
        <v>5</v>
      </c>
      <c r="G38" s="11">
        <v>5</v>
      </c>
      <c r="H38" s="11">
        <v>38</v>
      </c>
      <c r="I38" s="11">
        <v>13</v>
      </c>
      <c r="J38" s="11">
        <f t="shared" si="6"/>
        <v>51</v>
      </c>
      <c r="K38" s="11">
        <f t="shared" si="7"/>
        <v>36</v>
      </c>
      <c r="L38" s="11" t="s">
        <v>21</v>
      </c>
    </row>
    <row r="39" ht="28" customHeight="1" spans="1:12">
      <c r="A39" s="11">
        <v>37</v>
      </c>
      <c r="B39" s="11" t="str">
        <f>"王岑文"</f>
        <v>王岑文</v>
      </c>
      <c r="C39" s="11" t="s">
        <v>97</v>
      </c>
      <c r="D39" s="12" t="str">
        <f t="shared" si="5"/>
        <v>党群部-综合管理岗（高新）</v>
      </c>
      <c r="E39" s="11" t="str">
        <f>"202408240606"</f>
        <v>202408240606</v>
      </c>
      <c r="F39" s="11">
        <v>6</v>
      </c>
      <c r="G39" s="11">
        <v>6</v>
      </c>
      <c r="H39" s="11">
        <v>38</v>
      </c>
      <c r="I39" s="11">
        <v>13</v>
      </c>
      <c r="J39" s="11">
        <f t="shared" si="6"/>
        <v>51</v>
      </c>
      <c r="K39" s="11">
        <f t="shared" si="7"/>
        <v>36</v>
      </c>
      <c r="L39" s="11" t="s">
        <v>21</v>
      </c>
    </row>
    <row r="40" ht="28" customHeight="1" spans="1:12">
      <c r="A40" s="11">
        <v>38</v>
      </c>
      <c r="B40" s="11" t="str">
        <f>"吕蕾帆"</f>
        <v>吕蕾帆</v>
      </c>
      <c r="C40" s="11" t="s">
        <v>98</v>
      </c>
      <c r="D40" s="12" t="str">
        <f t="shared" si="5"/>
        <v>党群部-综合管理岗（高新）</v>
      </c>
      <c r="E40" s="11" t="str">
        <f>"202408240229"</f>
        <v>202408240229</v>
      </c>
      <c r="F40" s="11">
        <v>2</v>
      </c>
      <c r="G40" s="11">
        <v>29</v>
      </c>
      <c r="H40" s="11">
        <v>32</v>
      </c>
      <c r="I40" s="11">
        <v>18</v>
      </c>
      <c r="J40" s="11">
        <f t="shared" si="6"/>
        <v>50</v>
      </c>
      <c r="K40" s="11">
        <f t="shared" si="7"/>
        <v>38</v>
      </c>
      <c r="L40" s="11" t="s">
        <v>21</v>
      </c>
    </row>
    <row r="41" ht="28" customHeight="1" spans="1:12">
      <c r="A41" s="11">
        <v>39</v>
      </c>
      <c r="B41" s="11" t="str">
        <f>"张雪儿"</f>
        <v>张雪儿</v>
      </c>
      <c r="C41" s="11" t="s">
        <v>99</v>
      </c>
      <c r="D41" s="12" t="str">
        <f t="shared" si="5"/>
        <v>党群部-综合管理岗（高新）</v>
      </c>
      <c r="E41" s="11" t="str">
        <f>"202408240622"</f>
        <v>202408240622</v>
      </c>
      <c r="F41" s="11">
        <v>6</v>
      </c>
      <c r="G41" s="11">
        <v>22</v>
      </c>
      <c r="H41" s="11">
        <v>35</v>
      </c>
      <c r="I41" s="11">
        <v>15</v>
      </c>
      <c r="J41" s="11">
        <f t="shared" si="6"/>
        <v>50</v>
      </c>
      <c r="K41" s="11">
        <f t="shared" si="7"/>
        <v>38</v>
      </c>
      <c r="L41" s="11" t="s">
        <v>21</v>
      </c>
    </row>
    <row r="42" ht="28" customHeight="1" spans="1:12">
      <c r="A42" s="11">
        <v>40</v>
      </c>
      <c r="B42" s="11" t="str">
        <f>"李粒蜜"</f>
        <v>李粒蜜</v>
      </c>
      <c r="C42" s="11" t="s">
        <v>100</v>
      </c>
      <c r="D42" s="12" t="str">
        <f t="shared" si="5"/>
        <v>党群部-综合管理岗（高新）</v>
      </c>
      <c r="E42" s="11" t="str">
        <f>"202408240635"</f>
        <v>202408240635</v>
      </c>
      <c r="F42" s="11">
        <v>6</v>
      </c>
      <c r="G42" s="11">
        <v>35</v>
      </c>
      <c r="H42" s="11">
        <v>37</v>
      </c>
      <c r="I42" s="11">
        <v>13</v>
      </c>
      <c r="J42" s="11">
        <f t="shared" si="6"/>
        <v>50</v>
      </c>
      <c r="K42" s="11">
        <f t="shared" si="7"/>
        <v>38</v>
      </c>
      <c r="L42" s="11" t="s">
        <v>21</v>
      </c>
    </row>
    <row r="43" ht="28" customHeight="1" spans="1:12">
      <c r="A43" s="11">
        <v>41</v>
      </c>
      <c r="B43" s="11" t="str">
        <f>"林俊秀"</f>
        <v>林俊秀</v>
      </c>
      <c r="C43" s="11" t="s">
        <v>101</v>
      </c>
      <c r="D43" s="12" t="str">
        <f t="shared" si="5"/>
        <v>党群部-综合管理岗（高新）</v>
      </c>
      <c r="E43" s="11" t="str">
        <f>"202408240725"</f>
        <v>202408240725</v>
      </c>
      <c r="F43" s="11">
        <v>7</v>
      </c>
      <c r="G43" s="11">
        <v>25</v>
      </c>
      <c r="H43" s="11">
        <v>39</v>
      </c>
      <c r="I43" s="11">
        <v>11</v>
      </c>
      <c r="J43" s="11">
        <f t="shared" si="6"/>
        <v>50</v>
      </c>
      <c r="K43" s="11">
        <f t="shared" si="7"/>
        <v>38</v>
      </c>
      <c r="L43" s="11" t="s">
        <v>21</v>
      </c>
    </row>
    <row r="44" ht="28" customHeight="1" spans="1:12">
      <c r="A44" s="11">
        <v>42</v>
      </c>
      <c r="B44" s="11" t="str">
        <f>"赵绪莉"</f>
        <v>赵绪莉</v>
      </c>
      <c r="C44" s="11" t="s">
        <v>102</v>
      </c>
      <c r="D44" s="12" t="str">
        <f t="shared" si="5"/>
        <v>党群部-综合管理岗（高新）</v>
      </c>
      <c r="E44" s="11" t="str">
        <f>"202408240821"</f>
        <v>202408240821</v>
      </c>
      <c r="F44" s="11">
        <v>8</v>
      </c>
      <c r="G44" s="11">
        <v>21</v>
      </c>
      <c r="H44" s="11">
        <v>33</v>
      </c>
      <c r="I44" s="11">
        <v>16</v>
      </c>
      <c r="J44" s="11">
        <f t="shared" si="6"/>
        <v>49</v>
      </c>
      <c r="K44" s="11">
        <f t="shared" si="7"/>
        <v>42</v>
      </c>
      <c r="L44" s="11" t="s">
        <v>21</v>
      </c>
    </row>
    <row r="45" ht="28" customHeight="1" spans="1:12">
      <c r="A45" s="11">
        <v>43</v>
      </c>
      <c r="B45" s="11" t="str">
        <f>"张绍川"</f>
        <v>张绍川</v>
      </c>
      <c r="C45" s="11" t="s">
        <v>103</v>
      </c>
      <c r="D45" s="12" t="str">
        <f t="shared" ref="D45:D54" si="8">"党群部-综合管理岗（高新）"</f>
        <v>党群部-综合管理岗（高新）</v>
      </c>
      <c r="E45" s="11" t="str">
        <f>"202408240916"</f>
        <v>202408240916</v>
      </c>
      <c r="F45" s="11">
        <v>9</v>
      </c>
      <c r="G45" s="11">
        <v>16</v>
      </c>
      <c r="H45" s="11">
        <v>34</v>
      </c>
      <c r="I45" s="11">
        <v>15</v>
      </c>
      <c r="J45" s="11">
        <f t="shared" si="6"/>
        <v>49</v>
      </c>
      <c r="K45" s="11">
        <f t="shared" si="7"/>
        <v>42</v>
      </c>
      <c r="L45" s="11" t="s">
        <v>21</v>
      </c>
    </row>
    <row r="46" ht="28" customHeight="1" spans="1:12">
      <c r="A46" s="11">
        <v>44</v>
      </c>
      <c r="B46" s="11" t="str">
        <f>"米娇娇"</f>
        <v>米娇娇</v>
      </c>
      <c r="C46" s="11" t="s">
        <v>104</v>
      </c>
      <c r="D46" s="12" t="str">
        <f t="shared" si="8"/>
        <v>党群部-综合管理岗（高新）</v>
      </c>
      <c r="E46" s="11" t="str">
        <f>"202408240929"</f>
        <v>202408240929</v>
      </c>
      <c r="F46" s="11">
        <v>9</v>
      </c>
      <c r="G46" s="11">
        <v>29</v>
      </c>
      <c r="H46" s="11">
        <v>35</v>
      </c>
      <c r="I46" s="11">
        <v>14</v>
      </c>
      <c r="J46" s="11">
        <f t="shared" si="6"/>
        <v>49</v>
      </c>
      <c r="K46" s="11">
        <f t="shared" si="7"/>
        <v>42</v>
      </c>
      <c r="L46" s="11" t="s">
        <v>21</v>
      </c>
    </row>
    <row r="47" ht="28" customHeight="1" spans="1:12">
      <c r="A47" s="11">
        <v>45</v>
      </c>
      <c r="B47" s="11" t="str">
        <f>"樊颖"</f>
        <v>樊颖</v>
      </c>
      <c r="C47" s="11" t="s">
        <v>105</v>
      </c>
      <c r="D47" s="12" t="str">
        <f t="shared" si="8"/>
        <v>党群部-综合管理岗（高新）</v>
      </c>
      <c r="E47" s="11" t="str">
        <f>"202408240407"</f>
        <v>202408240407</v>
      </c>
      <c r="F47" s="11">
        <v>4</v>
      </c>
      <c r="G47" s="11">
        <v>7</v>
      </c>
      <c r="H47" s="11">
        <v>39</v>
      </c>
      <c r="I47" s="11">
        <v>9</v>
      </c>
      <c r="J47" s="11">
        <f t="shared" si="6"/>
        <v>48</v>
      </c>
      <c r="K47" s="11">
        <f t="shared" si="7"/>
        <v>45</v>
      </c>
      <c r="L47" s="11" t="s">
        <v>21</v>
      </c>
    </row>
    <row r="48" ht="28" customHeight="1" spans="1:12">
      <c r="A48" s="11">
        <v>46</v>
      </c>
      <c r="B48" s="11" t="str">
        <f>"曾宇城"</f>
        <v>曾宇城</v>
      </c>
      <c r="C48" s="11" t="s">
        <v>106</v>
      </c>
      <c r="D48" s="12" t="str">
        <f t="shared" si="8"/>
        <v>党群部-综合管理岗（高新）</v>
      </c>
      <c r="E48" s="11" t="str">
        <f>"202408240615"</f>
        <v>202408240615</v>
      </c>
      <c r="F48" s="11">
        <v>6</v>
      </c>
      <c r="G48" s="11">
        <v>15</v>
      </c>
      <c r="H48" s="11">
        <v>39</v>
      </c>
      <c r="I48" s="11">
        <v>9</v>
      </c>
      <c r="J48" s="11">
        <f t="shared" si="6"/>
        <v>48</v>
      </c>
      <c r="K48" s="11">
        <f t="shared" si="7"/>
        <v>45</v>
      </c>
      <c r="L48" s="11" t="s">
        <v>21</v>
      </c>
    </row>
    <row r="49" ht="28" customHeight="1" spans="1:12">
      <c r="A49" s="11">
        <v>47</v>
      </c>
      <c r="B49" s="11" t="str">
        <f>"尹凤丽"</f>
        <v>尹凤丽</v>
      </c>
      <c r="C49" s="11" t="s">
        <v>107</v>
      </c>
      <c r="D49" s="12" t="str">
        <f t="shared" si="8"/>
        <v>党群部-综合管理岗（高新）</v>
      </c>
      <c r="E49" s="11" t="str">
        <f>"202408240716"</f>
        <v>202408240716</v>
      </c>
      <c r="F49" s="11">
        <v>7</v>
      </c>
      <c r="G49" s="11">
        <v>16</v>
      </c>
      <c r="H49" s="11">
        <v>38</v>
      </c>
      <c r="I49" s="11">
        <v>10</v>
      </c>
      <c r="J49" s="11">
        <f t="shared" si="6"/>
        <v>48</v>
      </c>
      <c r="K49" s="11">
        <f t="shared" si="7"/>
        <v>45</v>
      </c>
      <c r="L49" s="11" t="s">
        <v>21</v>
      </c>
    </row>
    <row r="50" ht="28" customHeight="1" spans="1:12">
      <c r="A50" s="11">
        <v>48</v>
      </c>
      <c r="B50" s="11" t="str">
        <f>"王婷"</f>
        <v>王婷</v>
      </c>
      <c r="C50" s="11" t="s">
        <v>108</v>
      </c>
      <c r="D50" s="12" t="str">
        <f t="shared" si="8"/>
        <v>党群部-综合管理岗（高新）</v>
      </c>
      <c r="E50" s="11" t="str">
        <f>"202408240131"</f>
        <v>202408240131</v>
      </c>
      <c r="F50" s="11">
        <v>1</v>
      </c>
      <c r="G50" s="11">
        <v>31</v>
      </c>
      <c r="H50" s="11">
        <v>31</v>
      </c>
      <c r="I50" s="11">
        <v>15</v>
      </c>
      <c r="J50" s="11">
        <f t="shared" si="6"/>
        <v>46</v>
      </c>
      <c r="K50" s="11">
        <f t="shared" si="7"/>
        <v>48</v>
      </c>
      <c r="L50" s="11" t="s">
        <v>21</v>
      </c>
    </row>
    <row r="51" ht="28" customHeight="1" spans="1:12">
      <c r="A51" s="11">
        <v>49</v>
      </c>
      <c r="B51" s="11" t="str">
        <f>"田敏"</f>
        <v>田敏</v>
      </c>
      <c r="C51" s="11" t="s">
        <v>109</v>
      </c>
      <c r="D51" s="12" t="str">
        <f t="shared" si="8"/>
        <v>党群部-综合管理岗（高新）</v>
      </c>
      <c r="E51" s="11" t="str">
        <f>"202408240520"</f>
        <v>202408240520</v>
      </c>
      <c r="F51" s="11">
        <v>5</v>
      </c>
      <c r="G51" s="11">
        <v>20</v>
      </c>
      <c r="H51" s="11">
        <v>32</v>
      </c>
      <c r="I51" s="11">
        <v>14</v>
      </c>
      <c r="J51" s="11">
        <f t="shared" si="6"/>
        <v>46</v>
      </c>
      <c r="K51" s="11">
        <f t="shared" si="7"/>
        <v>48</v>
      </c>
      <c r="L51" s="11" t="s">
        <v>21</v>
      </c>
    </row>
    <row r="52" ht="28" customHeight="1" spans="1:12">
      <c r="A52" s="11">
        <v>50</v>
      </c>
      <c r="B52" s="11" t="str">
        <f>"李承磊"</f>
        <v>李承磊</v>
      </c>
      <c r="C52" s="11" t="s">
        <v>110</v>
      </c>
      <c r="D52" s="12" t="str">
        <f t="shared" si="8"/>
        <v>党群部-综合管理岗（高新）</v>
      </c>
      <c r="E52" s="11" t="str">
        <f>"202408240717"</f>
        <v>202408240717</v>
      </c>
      <c r="F52" s="11">
        <v>7</v>
      </c>
      <c r="G52" s="11">
        <v>17</v>
      </c>
      <c r="H52" s="11">
        <v>31</v>
      </c>
      <c r="I52" s="11">
        <v>15</v>
      </c>
      <c r="J52" s="11">
        <f t="shared" si="6"/>
        <v>46</v>
      </c>
      <c r="K52" s="11">
        <f t="shared" si="7"/>
        <v>48</v>
      </c>
      <c r="L52" s="11" t="s">
        <v>21</v>
      </c>
    </row>
    <row r="53" ht="28" customHeight="1" spans="1:12">
      <c r="A53" s="11">
        <v>51</v>
      </c>
      <c r="B53" s="11" t="str">
        <f>"王晨礼"</f>
        <v>王晨礼</v>
      </c>
      <c r="C53" s="11" t="s">
        <v>111</v>
      </c>
      <c r="D53" s="12" t="str">
        <f t="shared" si="8"/>
        <v>党群部-综合管理岗（高新）</v>
      </c>
      <c r="E53" s="11" t="str">
        <f>"202408240405"</f>
        <v>202408240405</v>
      </c>
      <c r="F53" s="11">
        <v>4</v>
      </c>
      <c r="G53" s="11">
        <v>5</v>
      </c>
      <c r="H53" s="11">
        <v>30</v>
      </c>
      <c r="I53" s="11">
        <v>15</v>
      </c>
      <c r="J53" s="11">
        <f t="shared" si="6"/>
        <v>45</v>
      </c>
      <c r="K53" s="11">
        <f t="shared" si="7"/>
        <v>51</v>
      </c>
      <c r="L53" s="11" t="s">
        <v>21</v>
      </c>
    </row>
    <row r="54" ht="28" customHeight="1" spans="1:12">
      <c r="A54" s="11">
        <v>52</v>
      </c>
      <c r="B54" s="11" t="str">
        <f>"杨蕊霖"</f>
        <v>杨蕊霖</v>
      </c>
      <c r="C54" s="11" t="s">
        <v>112</v>
      </c>
      <c r="D54" s="12" t="str">
        <f t="shared" si="8"/>
        <v>党群部-综合管理岗（高新）</v>
      </c>
      <c r="E54" s="11" t="str">
        <f>"202408240408"</f>
        <v>202408240408</v>
      </c>
      <c r="F54" s="11">
        <v>4</v>
      </c>
      <c r="G54" s="11">
        <v>8</v>
      </c>
      <c r="H54" s="11">
        <v>35</v>
      </c>
      <c r="I54" s="11">
        <v>10</v>
      </c>
      <c r="J54" s="11">
        <f t="shared" si="6"/>
        <v>45</v>
      </c>
      <c r="K54" s="11">
        <f t="shared" si="7"/>
        <v>51</v>
      </c>
      <c r="L54" s="11" t="s">
        <v>21</v>
      </c>
    </row>
    <row r="55" ht="28" customHeight="1" spans="1:12">
      <c r="A55" s="11">
        <v>53</v>
      </c>
      <c r="B55" s="11" t="str">
        <f>"唐欧蔚"</f>
        <v>唐欧蔚</v>
      </c>
      <c r="C55" s="11" t="s">
        <v>113</v>
      </c>
      <c r="D55" s="12" t="str">
        <f t="shared" ref="D55:D64" si="9">"党群部-综合管理岗（高新）"</f>
        <v>党群部-综合管理岗（高新）</v>
      </c>
      <c r="E55" s="11" t="str">
        <f>"202408240524"</f>
        <v>202408240524</v>
      </c>
      <c r="F55" s="11">
        <v>5</v>
      </c>
      <c r="G55" s="11">
        <v>24</v>
      </c>
      <c r="H55" s="11">
        <v>33</v>
      </c>
      <c r="I55" s="11">
        <v>10</v>
      </c>
      <c r="J55" s="11">
        <f t="shared" si="6"/>
        <v>43</v>
      </c>
      <c r="K55" s="11">
        <f t="shared" si="7"/>
        <v>53</v>
      </c>
      <c r="L55" s="11" t="s">
        <v>21</v>
      </c>
    </row>
    <row r="56" ht="28" customHeight="1" spans="1:12">
      <c r="A56" s="11">
        <v>54</v>
      </c>
      <c r="B56" s="11" t="str">
        <f>"冯兰岚"</f>
        <v>冯兰岚</v>
      </c>
      <c r="C56" s="11" t="s">
        <v>114</v>
      </c>
      <c r="D56" s="12" t="str">
        <f t="shared" si="9"/>
        <v>党群部-综合管理岗（高新）</v>
      </c>
      <c r="E56" s="11" t="str">
        <f>"202408240917"</f>
        <v>202408240917</v>
      </c>
      <c r="F56" s="11">
        <v>9</v>
      </c>
      <c r="G56" s="11">
        <v>17</v>
      </c>
      <c r="H56" s="11">
        <v>33</v>
      </c>
      <c r="I56" s="11">
        <v>10</v>
      </c>
      <c r="J56" s="11">
        <f t="shared" si="6"/>
        <v>43</v>
      </c>
      <c r="K56" s="11">
        <f t="shared" si="7"/>
        <v>53</v>
      </c>
      <c r="L56" s="11" t="s">
        <v>21</v>
      </c>
    </row>
    <row r="57" ht="28" customHeight="1" spans="1:12">
      <c r="A57" s="11">
        <v>55</v>
      </c>
      <c r="B57" s="11" t="str">
        <f>"朱麒璇"</f>
        <v>朱麒璇</v>
      </c>
      <c r="C57" s="11" t="s">
        <v>115</v>
      </c>
      <c r="D57" s="12" t="str">
        <f t="shared" si="9"/>
        <v>党群部-综合管理岗（高新）</v>
      </c>
      <c r="E57" s="11" t="str">
        <f>"202408240419"</f>
        <v>202408240419</v>
      </c>
      <c r="F57" s="11">
        <v>4</v>
      </c>
      <c r="G57" s="11">
        <v>19</v>
      </c>
      <c r="H57" s="11">
        <v>32</v>
      </c>
      <c r="I57" s="11">
        <v>10</v>
      </c>
      <c r="J57" s="11">
        <f t="shared" si="6"/>
        <v>42</v>
      </c>
      <c r="K57" s="11">
        <f t="shared" si="7"/>
        <v>55</v>
      </c>
      <c r="L57" s="11" t="s">
        <v>21</v>
      </c>
    </row>
    <row r="58" ht="28" customHeight="1" spans="1:12">
      <c r="A58" s="11">
        <v>56</v>
      </c>
      <c r="B58" s="11" t="str">
        <f>"杨雪"</f>
        <v>杨雪</v>
      </c>
      <c r="C58" s="11" t="s">
        <v>116</v>
      </c>
      <c r="D58" s="12" t="str">
        <f t="shared" si="9"/>
        <v>党群部-综合管理岗（高新）</v>
      </c>
      <c r="E58" s="11" t="str">
        <f>"202408240722"</f>
        <v>202408240722</v>
      </c>
      <c r="F58" s="11">
        <v>7</v>
      </c>
      <c r="G58" s="11">
        <v>22</v>
      </c>
      <c r="H58" s="11">
        <v>31</v>
      </c>
      <c r="I58" s="11">
        <v>10</v>
      </c>
      <c r="J58" s="11">
        <f t="shared" si="6"/>
        <v>41</v>
      </c>
      <c r="K58" s="11">
        <f t="shared" si="7"/>
        <v>56</v>
      </c>
      <c r="L58" s="11" t="s">
        <v>21</v>
      </c>
    </row>
    <row r="59" ht="28" customHeight="1" spans="1:12">
      <c r="A59" s="11">
        <v>57</v>
      </c>
      <c r="B59" s="11" t="str">
        <f>"张曾英"</f>
        <v>张曾英</v>
      </c>
      <c r="C59" s="11" t="s">
        <v>117</v>
      </c>
      <c r="D59" s="12" t="str">
        <f t="shared" si="9"/>
        <v>党群部-综合管理岗（高新）</v>
      </c>
      <c r="E59" s="11" t="str">
        <f>"202408240815"</f>
        <v>202408240815</v>
      </c>
      <c r="F59" s="11">
        <v>8</v>
      </c>
      <c r="G59" s="11">
        <v>15</v>
      </c>
      <c r="H59" s="11">
        <v>36</v>
      </c>
      <c r="I59" s="11">
        <v>5</v>
      </c>
      <c r="J59" s="11">
        <f t="shared" si="6"/>
        <v>41</v>
      </c>
      <c r="K59" s="11">
        <f t="shared" si="7"/>
        <v>56</v>
      </c>
      <c r="L59" s="11" t="s">
        <v>21</v>
      </c>
    </row>
    <row r="60" ht="28" customHeight="1" spans="1:12">
      <c r="A60" s="11">
        <v>58</v>
      </c>
      <c r="B60" s="11" t="str">
        <f>"葛彦秀"</f>
        <v>葛彦秀</v>
      </c>
      <c r="C60" s="11" t="s">
        <v>118</v>
      </c>
      <c r="D60" s="12" t="str">
        <f t="shared" si="9"/>
        <v>党群部-综合管理岗（高新）</v>
      </c>
      <c r="E60" s="11" t="str">
        <f>"202408241402"</f>
        <v>202408241402</v>
      </c>
      <c r="F60" s="11">
        <v>14</v>
      </c>
      <c r="G60" s="11">
        <v>2</v>
      </c>
      <c r="H60" s="11">
        <v>31</v>
      </c>
      <c r="I60" s="11">
        <v>10</v>
      </c>
      <c r="J60" s="11">
        <f t="shared" si="6"/>
        <v>41</v>
      </c>
      <c r="K60" s="11">
        <f t="shared" si="7"/>
        <v>56</v>
      </c>
      <c r="L60" s="11" t="s">
        <v>21</v>
      </c>
    </row>
    <row r="61" ht="28" customHeight="1" spans="1:12">
      <c r="A61" s="11">
        <v>59</v>
      </c>
      <c r="B61" s="11" t="str">
        <f>"马雯筠"</f>
        <v>马雯筠</v>
      </c>
      <c r="C61" s="11" t="s">
        <v>119</v>
      </c>
      <c r="D61" s="12" t="str">
        <f t="shared" si="9"/>
        <v>党群部-综合管理岗（高新）</v>
      </c>
      <c r="E61" s="11" t="str">
        <f>"202408241423"</f>
        <v>202408241423</v>
      </c>
      <c r="F61" s="11">
        <v>14</v>
      </c>
      <c r="G61" s="11">
        <v>23</v>
      </c>
      <c r="H61" s="11">
        <v>31</v>
      </c>
      <c r="I61" s="11">
        <v>9</v>
      </c>
      <c r="J61" s="11">
        <f t="shared" si="6"/>
        <v>40</v>
      </c>
      <c r="K61" s="11">
        <f t="shared" si="7"/>
        <v>59</v>
      </c>
      <c r="L61" s="11" t="s">
        <v>21</v>
      </c>
    </row>
    <row r="62" ht="28" customHeight="1" spans="1:12">
      <c r="A62" s="11">
        <v>60</v>
      </c>
      <c r="B62" s="11" t="str">
        <f>"谢蕊莲"</f>
        <v>谢蕊莲</v>
      </c>
      <c r="C62" s="11" t="s">
        <v>120</v>
      </c>
      <c r="D62" s="12" t="str">
        <f t="shared" si="9"/>
        <v>党群部-综合管理岗（高新）</v>
      </c>
      <c r="E62" s="11" t="str">
        <f>"202408240526"</f>
        <v>202408240526</v>
      </c>
      <c r="F62" s="11">
        <v>5</v>
      </c>
      <c r="G62" s="11">
        <v>26</v>
      </c>
      <c r="H62" s="11">
        <v>25</v>
      </c>
      <c r="I62" s="11">
        <v>10</v>
      </c>
      <c r="J62" s="11">
        <f t="shared" si="6"/>
        <v>35</v>
      </c>
      <c r="K62" s="11">
        <f t="shared" si="7"/>
        <v>60</v>
      </c>
      <c r="L62" s="11" t="s">
        <v>21</v>
      </c>
    </row>
    <row r="63" ht="28" customHeight="1" spans="1:12">
      <c r="A63" s="11">
        <v>61</v>
      </c>
      <c r="B63" s="11" t="str">
        <f>"郑鸿"</f>
        <v>郑鸿</v>
      </c>
      <c r="C63" s="11" t="s">
        <v>121</v>
      </c>
      <c r="D63" s="12" t="str">
        <f t="shared" si="9"/>
        <v>党群部-综合管理岗（高新）</v>
      </c>
      <c r="E63" s="11" t="str">
        <f>"202408240421"</f>
        <v>202408240421</v>
      </c>
      <c r="F63" s="11">
        <v>4</v>
      </c>
      <c r="G63" s="11">
        <v>21</v>
      </c>
      <c r="H63" s="11">
        <v>0</v>
      </c>
      <c r="I63" s="11">
        <v>0</v>
      </c>
      <c r="J63" s="7" t="s">
        <v>20</v>
      </c>
      <c r="K63" s="7"/>
      <c r="L63" s="11" t="s">
        <v>21</v>
      </c>
    </row>
    <row r="64" ht="28" customHeight="1" spans="1:12">
      <c r="A64" s="11">
        <v>62</v>
      </c>
      <c r="B64" s="11" t="str">
        <f>"刘瑀"</f>
        <v>刘瑀</v>
      </c>
      <c r="C64" s="11" t="s">
        <v>122</v>
      </c>
      <c r="D64" s="12" t="str">
        <f t="shared" si="9"/>
        <v>党群部-综合管理岗（高新）</v>
      </c>
      <c r="E64" s="11" t="str">
        <f>"202408240422"</f>
        <v>202408240422</v>
      </c>
      <c r="F64" s="11">
        <v>4</v>
      </c>
      <c r="G64" s="11">
        <v>22</v>
      </c>
      <c r="H64" s="11">
        <v>0</v>
      </c>
      <c r="I64" s="11">
        <v>0</v>
      </c>
      <c r="J64" s="7" t="s">
        <v>20</v>
      </c>
      <c r="K64" s="7"/>
      <c r="L64" s="11" t="s">
        <v>21</v>
      </c>
    </row>
    <row r="65" ht="28" customHeight="1" spans="1:12">
      <c r="A65" s="11">
        <v>63</v>
      </c>
      <c r="B65" s="11" t="str">
        <f>"张亿"</f>
        <v>张亿</v>
      </c>
      <c r="C65" s="11" t="s">
        <v>90</v>
      </c>
      <c r="D65" s="12" t="str">
        <f t="shared" ref="D65:D74" si="10">"党群部-综合管理岗（高新）"</f>
        <v>党群部-综合管理岗（高新）</v>
      </c>
      <c r="E65" s="11" t="str">
        <f>"202408240428"</f>
        <v>202408240428</v>
      </c>
      <c r="F65" s="11">
        <v>4</v>
      </c>
      <c r="G65" s="11">
        <v>28</v>
      </c>
      <c r="H65" s="11">
        <v>0</v>
      </c>
      <c r="I65" s="11">
        <v>0</v>
      </c>
      <c r="J65" s="7" t="s">
        <v>20</v>
      </c>
      <c r="K65" s="7"/>
      <c r="L65" s="11" t="s">
        <v>21</v>
      </c>
    </row>
    <row r="66" ht="28" customHeight="1" spans="1:12">
      <c r="A66" s="11">
        <v>64</v>
      </c>
      <c r="B66" s="11" t="str">
        <f>"李瑞洋"</f>
        <v>李瑞洋</v>
      </c>
      <c r="C66" s="11" t="s">
        <v>123</v>
      </c>
      <c r="D66" s="12" t="str">
        <f t="shared" si="10"/>
        <v>党群部-综合管理岗（高新）</v>
      </c>
      <c r="E66" s="11" t="str">
        <f>"202408240429"</f>
        <v>202408240429</v>
      </c>
      <c r="F66" s="11">
        <v>4</v>
      </c>
      <c r="G66" s="11">
        <v>29</v>
      </c>
      <c r="H66" s="11">
        <v>0</v>
      </c>
      <c r="I66" s="11">
        <v>0</v>
      </c>
      <c r="J66" s="7" t="s">
        <v>20</v>
      </c>
      <c r="K66" s="7"/>
      <c r="L66" s="11" t="s">
        <v>21</v>
      </c>
    </row>
    <row r="67" ht="28" customHeight="1" spans="1:12">
      <c r="A67" s="11">
        <v>65</v>
      </c>
      <c r="B67" s="11" t="str">
        <f>"张浩"</f>
        <v>张浩</v>
      </c>
      <c r="C67" s="11" t="s">
        <v>124</v>
      </c>
      <c r="D67" s="12" t="str">
        <f t="shared" si="10"/>
        <v>党群部-综合管理岗（高新）</v>
      </c>
      <c r="E67" s="11" t="str">
        <f>"202408240435"</f>
        <v>202408240435</v>
      </c>
      <c r="F67" s="11">
        <v>4</v>
      </c>
      <c r="G67" s="11">
        <v>35</v>
      </c>
      <c r="H67" s="11">
        <v>0</v>
      </c>
      <c r="I67" s="11">
        <v>0</v>
      </c>
      <c r="J67" s="7" t="s">
        <v>20</v>
      </c>
      <c r="K67" s="7"/>
      <c r="L67" s="11" t="s">
        <v>21</v>
      </c>
    </row>
    <row r="68" ht="28" customHeight="1" spans="1:12">
      <c r="A68" s="11">
        <v>66</v>
      </c>
      <c r="B68" s="11" t="str">
        <f>"文艺"</f>
        <v>文艺</v>
      </c>
      <c r="C68" s="11" t="s">
        <v>125</v>
      </c>
      <c r="D68" s="12" t="str">
        <f t="shared" si="10"/>
        <v>党群部-综合管理岗（高新）</v>
      </c>
      <c r="E68" s="11" t="str">
        <f>"202408240439"</f>
        <v>202408240439</v>
      </c>
      <c r="F68" s="11">
        <v>4</v>
      </c>
      <c r="G68" s="11">
        <v>39</v>
      </c>
      <c r="H68" s="11">
        <v>0</v>
      </c>
      <c r="I68" s="11">
        <v>0</v>
      </c>
      <c r="J68" s="7" t="s">
        <v>20</v>
      </c>
      <c r="K68" s="7"/>
      <c r="L68" s="11" t="s">
        <v>21</v>
      </c>
    </row>
    <row r="69" ht="28" customHeight="1" spans="1:12">
      <c r="A69" s="11">
        <v>67</v>
      </c>
      <c r="B69" s="11" t="str">
        <f>"高玉婷"</f>
        <v>高玉婷</v>
      </c>
      <c r="C69" s="11" t="s">
        <v>126</v>
      </c>
      <c r="D69" s="12" t="str">
        <f t="shared" si="10"/>
        <v>党群部-综合管理岗（高新）</v>
      </c>
      <c r="E69" s="11" t="str">
        <f>"202408240525"</f>
        <v>202408240525</v>
      </c>
      <c r="F69" s="11">
        <v>5</v>
      </c>
      <c r="G69" s="11">
        <v>25</v>
      </c>
      <c r="H69" s="11">
        <v>0</v>
      </c>
      <c r="I69" s="11">
        <v>0</v>
      </c>
      <c r="J69" s="7" t="s">
        <v>20</v>
      </c>
      <c r="K69" s="7"/>
      <c r="L69" s="11" t="s">
        <v>21</v>
      </c>
    </row>
    <row r="70" ht="28" customHeight="1" spans="1:12">
      <c r="A70" s="11">
        <v>68</v>
      </c>
      <c r="B70" s="11" t="str">
        <f>"曾明慧"</f>
        <v>曾明慧</v>
      </c>
      <c r="C70" s="11" t="s">
        <v>127</v>
      </c>
      <c r="D70" s="12" t="str">
        <f t="shared" si="10"/>
        <v>党群部-综合管理岗（高新）</v>
      </c>
      <c r="E70" s="11" t="str">
        <f>"202408240533"</f>
        <v>202408240533</v>
      </c>
      <c r="F70" s="11">
        <v>5</v>
      </c>
      <c r="G70" s="11">
        <v>33</v>
      </c>
      <c r="H70" s="11">
        <v>0</v>
      </c>
      <c r="I70" s="11">
        <v>0</v>
      </c>
      <c r="J70" s="7" t="s">
        <v>20</v>
      </c>
      <c r="K70" s="7"/>
      <c r="L70" s="11" t="s">
        <v>21</v>
      </c>
    </row>
    <row r="71" ht="28" customHeight="1" spans="1:12">
      <c r="A71" s="11">
        <v>69</v>
      </c>
      <c r="B71" s="11" t="str">
        <f>"喻晓丽"</f>
        <v>喻晓丽</v>
      </c>
      <c r="C71" s="11" t="s">
        <v>128</v>
      </c>
      <c r="D71" s="12" t="str">
        <f t="shared" si="10"/>
        <v>党群部-综合管理岗（高新）</v>
      </c>
      <c r="E71" s="11" t="str">
        <f>"202408240540"</f>
        <v>202408240540</v>
      </c>
      <c r="F71" s="11">
        <v>5</v>
      </c>
      <c r="G71" s="11">
        <v>40</v>
      </c>
      <c r="H71" s="11">
        <v>0</v>
      </c>
      <c r="I71" s="11">
        <v>0</v>
      </c>
      <c r="J71" s="7" t="s">
        <v>20</v>
      </c>
      <c r="K71" s="7"/>
      <c r="L71" s="11" t="s">
        <v>21</v>
      </c>
    </row>
    <row r="72" ht="28" customHeight="1" spans="1:12">
      <c r="A72" s="11">
        <v>70</v>
      </c>
      <c r="B72" s="11" t="str">
        <f>"刘燚"</f>
        <v>刘燚</v>
      </c>
      <c r="C72" s="11" t="s">
        <v>129</v>
      </c>
      <c r="D72" s="12" t="str">
        <f t="shared" si="10"/>
        <v>党群部-综合管理岗（高新）</v>
      </c>
      <c r="E72" s="11" t="str">
        <f>"202408240608"</f>
        <v>202408240608</v>
      </c>
      <c r="F72" s="11">
        <v>6</v>
      </c>
      <c r="G72" s="11">
        <v>8</v>
      </c>
      <c r="H72" s="11">
        <v>0</v>
      </c>
      <c r="I72" s="11">
        <v>0</v>
      </c>
      <c r="J72" s="7" t="s">
        <v>20</v>
      </c>
      <c r="K72" s="7"/>
      <c r="L72" s="11" t="s">
        <v>21</v>
      </c>
    </row>
    <row r="73" ht="28" customHeight="1" spans="1:12">
      <c r="A73" s="11">
        <v>71</v>
      </c>
      <c r="B73" s="11" t="str">
        <f>"张小兰"</f>
        <v>张小兰</v>
      </c>
      <c r="C73" s="11" t="s">
        <v>130</v>
      </c>
      <c r="D73" s="12" t="str">
        <f t="shared" si="10"/>
        <v>党群部-综合管理岗（高新）</v>
      </c>
      <c r="E73" s="11" t="str">
        <f>"202408240610"</f>
        <v>202408240610</v>
      </c>
      <c r="F73" s="11">
        <v>6</v>
      </c>
      <c r="G73" s="11">
        <v>10</v>
      </c>
      <c r="H73" s="11">
        <v>0</v>
      </c>
      <c r="I73" s="11">
        <v>0</v>
      </c>
      <c r="J73" s="7" t="s">
        <v>20</v>
      </c>
      <c r="K73" s="7"/>
      <c r="L73" s="11" t="s">
        <v>21</v>
      </c>
    </row>
    <row r="74" ht="28" customHeight="1" spans="1:12">
      <c r="A74" s="11">
        <v>72</v>
      </c>
      <c r="B74" s="11" t="str">
        <f>"支木出哈莫"</f>
        <v>支木出哈莫</v>
      </c>
      <c r="C74" s="11" t="s">
        <v>131</v>
      </c>
      <c r="D74" s="12" t="str">
        <f t="shared" si="10"/>
        <v>党群部-综合管理岗（高新）</v>
      </c>
      <c r="E74" s="11" t="str">
        <f>"202408240614"</f>
        <v>202408240614</v>
      </c>
      <c r="F74" s="11">
        <v>6</v>
      </c>
      <c r="G74" s="11">
        <v>14</v>
      </c>
      <c r="H74" s="11">
        <v>0</v>
      </c>
      <c r="I74" s="11">
        <v>0</v>
      </c>
      <c r="J74" s="7" t="s">
        <v>20</v>
      </c>
      <c r="K74" s="7"/>
      <c r="L74" s="11" t="s">
        <v>21</v>
      </c>
    </row>
    <row r="75" ht="28" customHeight="1" spans="1:12">
      <c r="A75" s="11">
        <v>73</v>
      </c>
      <c r="B75" s="11" t="str">
        <f>"李冉鑫"</f>
        <v>李冉鑫</v>
      </c>
      <c r="C75" s="11" t="s">
        <v>132</v>
      </c>
      <c r="D75" s="12" t="str">
        <f t="shared" ref="D75:D84" si="11">"党群部-综合管理岗（高新）"</f>
        <v>党群部-综合管理岗（高新）</v>
      </c>
      <c r="E75" s="11" t="str">
        <f>"202408240618"</f>
        <v>202408240618</v>
      </c>
      <c r="F75" s="11">
        <v>6</v>
      </c>
      <c r="G75" s="11">
        <v>18</v>
      </c>
      <c r="H75" s="11">
        <v>0</v>
      </c>
      <c r="I75" s="11">
        <v>0</v>
      </c>
      <c r="J75" s="7" t="s">
        <v>20</v>
      </c>
      <c r="K75" s="7"/>
      <c r="L75" s="11" t="s">
        <v>21</v>
      </c>
    </row>
    <row r="76" ht="28" customHeight="1" spans="1:12">
      <c r="A76" s="11">
        <v>74</v>
      </c>
      <c r="B76" s="11" t="str">
        <f>"周兰"</f>
        <v>周兰</v>
      </c>
      <c r="C76" s="11" t="s">
        <v>133</v>
      </c>
      <c r="D76" s="12" t="str">
        <f t="shared" si="11"/>
        <v>党群部-综合管理岗（高新）</v>
      </c>
      <c r="E76" s="11" t="str">
        <f>"202408240626"</f>
        <v>202408240626</v>
      </c>
      <c r="F76" s="11">
        <v>6</v>
      </c>
      <c r="G76" s="11">
        <v>26</v>
      </c>
      <c r="H76" s="11">
        <v>0</v>
      </c>
      <c r="I76" s="11">
        <v>0</v>
      </c>
      <c r="J76" s="7" t="s">
        <v>20</v>
      </c>
      <c r="K76" s="7"/>
      <c r="L76" s="11" t="s">
        <v>21</v>
      </c>
    </row>
    <row r="77" ht="28" customHeight="1" spans="1:12">
      <c r="A77" s="11">
        <v>75</v>
      </c>
      <c r="B77" s="11" t="str">
        <f>"张春兰"</f>
        <v>张春兰</v>
      </c>
      <c r="C77" s="11" t="s">
        <v>134</v>
      </c>
      <c r="D77" s="12" t="str">
        <f t="shared" si="11"/>
        <v>党群部-综合管理岗（高新）</v>
      </c>
      <c r="E77" s="11" t="str">
        <f>"202408240629"</f>
        <v>202408240629</v>
      </c>
      <c r="F77" s="11">
        <v>6</v>
      </c>
      <c r="G77" s="11">
        <v>29</v>
      </c>
      <c r="H77" s="11">
        <v>0</v>
      </c>
      <c r="I77" s="11">
        <v>0</v>
      </c>
      <c r="J77" s="7" t="s">
        <v>20</v>
      </c>
      <c r="K77" s="7"/>
      <c r="L77" s="11" t="s">
        <v>21</v>
      </c>
    </row>
    <row r="78" ht="28" customHeight="1" spans="1:12">
      <c r="A78" s="11">
        <v>76</v>
      </c>
      <c r="B78" s="11" t="str">
        <f>"刘丽"</f>
        <v>刘丽</v>
      </c>
      <c r="C78" s="11" t="s">
        <v>135</v>
      </c>
      <c r="D78" s="12" t="str">
        <f t="shared" si="11"/>
        <v>党群部-综合管理岗（高新）</v>
      </c>
      <c r="E78" s="11" t="str">
        <f>"202408240704"</f>
        <v>202408240704</v>
      </c>
      <c r="F78" s="11">
        <v>7</v>
      </c>
      <c r="G78" s="11">
        <v>4</v>
      </c>
      <c r="H78" s="11">
        <v>0</v>
      </c>
      <c r="I78" s="11">
        <v>0</v>
      </c>
      <c r="J78" s="7" t="s">
        <v>20</v>
      </c>
      <c r="K78" s="7"/>
      <c r="L78" s="11" t="s">
        <v>21</v>
      </c>
    </row>
    <row r="79" ht="28" customHeight="1" spans="1:12">
      <c r="A79" s="11">
        <v>77</v>
      </c>
      <c r="B79" s="11" t="str">
        <f>"冯鑫"</f>
        <v>冯鑫</v>
      </c>
      <c r="C79" s="11" t="s">
        <v>136</v>
      </c>
      <c r="D79" s="12" t="str">
        <f t="shared" si="11"/>
        <v>党群部-综合管理岗（高新）</v>
      </c>
      <c r="E79" s="11" t="str">
        <f>"202408240707"</f>
        <v>202408240707</v>
      </c>
      <c r="F79" s="11">
        <v>7</v>
      </c>
      <c r="G79" s="11">
        <v>7</v>
      </c>
      <c r="H79" s="11">
        <v>0</v>
      </c>
      <c r="I79" s="11">
        <v>0</v>
      </c>
      <c r="J79" s="7" t="s">
        <v>20</v>
      </c>
      <c r="K79" s="7"/>
      <c r="L79" s="11" t="s">
        <v>21</v>
      </c>
    </row>
    <row r="80" ht="28" customHeight="1" spans="1:12">
      <c r="A80" s="11">
        <v>78</v>
      </c>
      <c r="B80" s="11" t="str">
        <f>"唐美娟"</f>
        <v>唐美娟</v>
      </c>
      <c r="C80" s="11" t="s">
        <v>137</v>
      </c>
      <c r="D80" s="12" t="str">
        <f t="shared" si="11"/>
        <v>党群部-综合管理岗（高新）</v>
      </c>
      <c r="E80" s="11" t="str">
        <f>"202408240728"</f>
        <v>202408240728</v>
      </c>
      <c r="F80" s="11">
        <v>7</v>
      </c>
      <c r="G80" s="11">
        <v>28</v>
      </c>
      <c r="H80" s="11">
        <v>0</v>
      </c>
      <c r="I80" s="11">
        <v>0</v>
      </c>
      <c r="J80" s="7" t="s">
        <v>20</v>
      </c>
      <c r="K80" s="7"/>
      <c r="L80" s="11" t="s">
        <v>21</v>
      </c>
    </row>
    <row r="81" ht="28" customHeight="1" spans="1:12">
      <c r="A81" s="11">
        <v>79</v>
      </c>
      <c r="B81" s="11" t="str">
        <f>"陈学威"</f>
        <v>陈学威</v>
      </c>
      <c r="C81" s="11" t="s">
        <v>138</v>
      </c>
      <c r="D81" s="12" t="str">
        <f t="shared" si="11"/>
        <v>党群部-综合管理岗（高新）</v>
      </c>
      <c r="E81" s="11" t="str">
        <f>"202408240733"</f>
        <v>202408240733</v>
      </c>
      <c r="F81" s="11">
        <v>7</v>
      </c>
      <c r="G81" s="11">
        <v>33</v>
      </c>
      <c r="H81" s="11">
        <v>0</v>
      </c>
      <c r="I81" s="11">
        <v>0</v>
      </c>
      <c r="J81" s="7" t="s">
        <v>20</v>
      </c>
      <c r="K81" s="7"/>
      <c r="L81" s="11" t="s">
        <v>21</v>
      </c>
    </row>
    <row r="82" ht="28" customHeight="1" spans="1:12">
      <c r="A82" s="11">
        <v>80</v>
      </c>
      <c r="B82" s="11" t="str">
        <f>"饶仁鹏"</f>
        <v>饶仁鹏</v>
      </c>
      <c r="C82" s="11" t="s">
        <v>139</v>
      </c>
      <c r="D82" s="12" t="str">
        <f t="shared" si="11"/>
        <v>党群部-综合管理岗（高新）</v>
      </c>
      <c r="E82" s="11" t="str">
        <f>"202408240810"</f>
        <v>202408240810</v>
      </c>
      <c r="F82" s="11">
        <v>8</v>
      </c>
      <c r="G82" s="11">
        <v>10</v>
      </c>
      <c r="H82" s="11">
        <v>0</v>
      </c>
      <c r="I82" s="11">
        <v>0</v>
      </c>
      <c r="J82" s="7" t="s">
        <v>20</v>
      </c>
      <c r="K82" s="7"/>
      <c r="L82" s="11" t="s">
        <v>21</v>
      </c>
    </row>
    <row r="83" ht="28" customHeight="1" spans="1:12">
      <c r="A83" s="11">
        <v>81</v>
      </c>
      <c r="B83" s="11" t="str">
        <f>"龙永海"</f>
        <v>龙永海</v>
      </c>
      <c r="C83" s="11" t="s">
        <v>140</v>
      </c>
      <c r="D83" s="12" t="str">
        <f t="shared" si="11"/>
        <v>党群部-综合管理岗（高新）</v>
      </c>
      <c r="E83" s="11" t="str">
        <f>"202408240811"</f>
        <v>202408240811</v>
      </c>
      <c r="F83" s="11">
        <v>8</v>
      </c>
      <c r="G83" s="11">
        <v>11</v>
      </c>
      <c r="H83" s="11">
        <v>0</v>
      </c>
      <c r="I83" s="11">
        <v>0</v>
      </c>
      <c r="J83" s="7" t="s">
        <v>20</v>
      </c>
      <c r="K83" s="7"/>
      <c r="L83" s="11" t="s">
        <v>21</v>
      </c>
    </row>
    <row r="84" ht="28" customHeight="1" spans="1:12">
      <c r="A84" s="11">
        <v>82</v>
      </c>
      <c r="B84" s="11" t="str">
        <f>"陈思融"</f>
        <v>陈思融</v>
      </c>
      <c r="C84" s="11" t="s">
        <v>141</v>
      </c>
      <c r="D84" s="12" t="str">
        <f t="shared" si="11"/>
        <v>党群部-综合管理岗（高新）</v>
      </c>
      <c r="E84" s="11" t="str">
        <f>"202408240812"</f>
        <v>202408240812</v>
      </c>
      <c r="F84" s="11">
        <v>8</v>
      </c>
      <c r="G84" s="11">
        <v>12</v>
      </c>
      <c r="H84" s="11">
        <v>0</v>
      </c>
      <c r="I84" s="11">
        <v>0</v>
      </c>
      <c r="J84" s="7" t="s">
        <v>20</v>
      </c>
      <c r="K84" s="7"/>
      <c r="L84" s="11" t="s">
        <v>21</v>
      </c>
    </row>
    <row r="85" ht="28" customHeight="1" spans="1:12">
      <c r="A85" s="11">
        <v>83</v>
      </c>
      <c r="B85" s="11" t="str">
        <f>"鲁兰英"</f>
        <v>鲁兰英</v>
      </c>
      <c r="C85" s="11" t="s">
        <v>142</v>
      </c>
      <c r="D85" s="12" t="str">
        <f t="shared" ref="D85:D94" si="12">"党群部-综合管理岗（高新）"</f>
        <v>党群部-综合管理岗（高新）</v>
      </c>
      <c r="E85" s="11" t="str">
        <f>"202408240824"</f>
        <v>202408240824</v>
      </c>
      <c r="F85" s="11">
        <v>8</v>
      </c>
      <c r="G85" s="11">
        <v>24</v>
      </c>
      <c r="H85" s="11">
        <v>0</v>
      </c>
      <c r="I85" s="11">
        <v>0</v>
      </c>
      <c r="J85" s="7" t="s">
        <v>20</v>
      </c>
      <c r="K85" s="7"/>
      <c r="L85" s="11" t="s">
        <v>21</v>
      </c>
    </row>
    <row r="86" ht="28" customHeight="1" spans="1:12">
      <c r="A86" s="11">
        <v>84</v>
      </c>
      <c r="B86" s="11" t="str">
        <f>"陈俊虎"</f>
        <v>陈俊虎</v>
      </c>
      <c r="C86" s="11" t="s">
        <v>143</v>
      </c>
      <c r="D86" s="12" t="str">
        <f t="shared" si="12"/>
        <v>党群部-综合管理岗（高新）</v>
      </c>
      <c r="E86" s="11" t="str">
        <f>"202408240831"</f>
        <v>202408240831</v>
      </c>
      <c r="F86" s="11">
        <v>8</v>
      </c>
      <c r="G86" s="11">
        <v>31</v>
      </c>
      <c r="H86" s="11">
        <v>0</v>
      </c>
      <c r="I86" s="11">
        <v>0</v>
      </c>
      <c r="J86" s="7" t="s">
        <v>20</v>
      </c>
      <c r="K86" s="7"/>
      <c r="L86" s="11" t="s">
        <v>21</v>
      </c>
    </row>
    <row r="87" ht="28" customHeight="1" spans="1:12">
      <c r="A87" s="11">
        <v>85</v>
      </c>
      <c r="B87" s="11" t="str">
        <f>"张媛君"</f>
        <v>张媛君</v>
      </c>
      <c r="C87" s="11" t="s">
        <v>144</v>
      </c>
      <c r="D87" s="12" t="str">
        <f t="shared" si="12"/>
        <v>党群部-综合管理岗（高新）</v>
      </c>
      <c r="E87" s="11" t="str">
        <f>"202408240907"</f>
        <v>202408240907</v>
      </c>
      <c r="F87" s="11">
        <v>9</v>
      </c>
      <c r="G87" s="11">
        <v>7</v>
      </c>
      <c r="H87" s="11">
        <v>0</v>
      </c>
      <c r="I87" s="11">
        <v>0</v>
      </c>
      <c r="J87" s="7" t="s">
        <v>20</v>
      </c>
      <c r="K87" s="7"/>
      <c r="L87" s="11" t="s">
        <v>21</v>
      </c>
    </row>
    <row r="88" ht="28" customHeight="1" spans="1:12">
      <c r="A88" s="11">
        <v>86</v>
      </c>
      <c r="B88" s="11" t="str">
        <f>"李亚萍"</f>
        <v>李亚萍</v>
      </c>
      <c r="C88" s="11" t="s">
        <v>145</v>
      </c>
      <c r="D88" s="12" t="str">
        <f t="shared" si="12"/>
        <v>党群部-综合管理岗（高新）</v>
      </c>
      <c r="E88" s="11" t="str">
        <f>"202408240913"</f>
        <v>202408240913</v>
      </c>
      <c r="F88" s="11">
        <v>9</v>
      </c>
      <c r="G88" s="11">
        <v>13</v>
      </c>
      <c r="H88" s="11">
        <v>0</v>
      </c>
      <c r="I88" s="11">
        <v>0</v>
      </c>
      <c r="J88" s="7" t="s">
        <v>20</v>
      </c>
      <c r="K88" s="7"/>
      <c r="L88" s="11" t="s">
        <v>21</v>
      </c>
    </row>
    <row r="89" ht="28" customHeight="1" spans="1:12">
      <c r="A89" s="11">
        <v>87</v>
      </c>
      <c r="B89" s="11" t="str">
        <f>"许红俐"</f>
        <v>许红俐</v>
      </c>
      <c r="C89" s="11" t="s">
        <v>146</v>
      </c>
      <c r="D89" s="12" t="str">
        <f t="shared" si="12"/>
        <v>党群部-综合管理岗（高新）</v>
      </c>
      <c r="E89" s="11" t="str">
        <f>"202408240921"</f>
        <v>202408240921</v>
      </c>
      <c r="F89" s="11">
        <v>9</v>
      </c>
      <c r="G89" s="11">
        <v>21</v>
      </c>
      <c r="H89" s="11">
        <v>0</v>
      </c>
      <c r="I89" s="11">
        <v>0</v>
      </c>
      <c r="J89" s="7" t="s">
        <v>20</v>
      </c>
      <c r="K89" s="7"/>
      <c r="L89" s="11" t="s">
        <v>21</v>
      </c>
    </row>
    <row r="90" ht="28" customHeight="1" spans="1:12">
      <c r="A90" s="11">
        <v>88</v>
      </c>
      <c r="B90" s="11" t="str">
        <f>"兰艳丽"</f>
        <v>兰艳丽</v>
      </c>
      <c r="C90" s="11" t="s">
        <v>147</v>
      </c>
      <c r="D90" s="12" t="str">
        <f t="shared" si="12"/>
        <v>党群部-综合管理岗（高新）</v>
      </c>
      <c r="E90" s="11" t="str">
        <f>"202408240924"</f>
        <v>202408240924</v>
      </c>
      <c r="F90" s="11">
        <v>9</v>
      </c>
      <c r="G90" s="11">
        <v>24</v>
      </c>
      <c r="H90" s="11">
        <v>0</v>
      </c>
      <c r="I90" s="11">
        <v>0</v>
      </c>
      <c r="J90" s="7" t="s">
        <v>20</v>
      </c>
      <c r="K90" s="7"/>
      <c r="L90" s="11" t="s">
        <v>21</v>
      </c>
    </row>
    <row r="91" ht="28" customHeight="1" spans="1:12">
      <c r="A91" s="11">
        <v>89</v>
      </c>
      <c r="B91" s="11" t="str">
        <f>"李瑞骐"</f>
        <v>李瑞骐</v>
      </c>
      <c r="C91" s="11" t="s">
        <v>148</v>
      </c>
      <c r="D91" s="12" t="str">
        <f t="shared" ref="D91:D105" si="13">"党群部-综合管理岗（高新）"</f>
        <v>党群部-综合管理岗（高新）</v>
      </c>
      <c r="E91" s="11" t="str">
        <f>"202408240936"</f>
        <v>202408240936</v>
      </c>
      <c r="F91" s="11">
        <v>9</v>
      </c>
      <c r="G91" s="11">
        <v>36</v>
      </c>
      <c r="H91" s="11">
        <v>0</v>
      </c>
      <c r="I91" s="11">
        <v>0</v>
      </c>
      <c r="J91" s="7" t="s">
        <v>20</v>
      </c>
      <c r="K91" s="7"/>
      <c r="L91" s="11" t="s">
        <v>21</v>
      </c>
    </row>
    <row r="92" ht="28" customHeight="1" spans="1:12">
      <c r="A92" s="11">
        <v>90</v>
      </c>
      <c r="B92" s="11" t="str">
        <f>"向瑞琳"</f>
        <v>向瑞琳</v>
      </c>
      <c r="C92" s="11" t="s">
        <v>149</v>
      </c>
      <c r="D92" s="12" t="str">
        <f t="shared" si="13"/>
        <v>党群部-综合管理岗（高新）</v>
      </c>
      <c r="E92" s="11" t="str">
        <f>"202408240939"</f>
        <v>202408240939</v>
      </c>
      <c r="F92" s="11">
        <v>9</v>
      </c>
      <c r="G92" s="11">
        <v>39</v>
      </c>
      <c r="H92" s="11">
        <v>0</v>
      </c>
      <c r="I92" s="11">
        <v>0</v>
      </c>
      <c r="J92" s="7" t="s">
        <v>20</v>
      </c>
      <c r="K92" s="7"/>
      <c r="L92" s="11" t="s">
        <v>21</v>
      </c>
    </row>
    <row r="93" ht="28" customHeight="1" spans="1:12">
      <c r="A93" s="11">
        <v>91</v>
      </c>
      <c r="B93" s="11" t="str">
        <f>"李虹瑶"</f>
        <v>李虹瑶</v>
      </c>
      <c r="C93" s="11" t="s">
        <v>150</v>
      </c>
      <c r="D93" s="12" t="str">
        <f t="shared" si="13"/>
        <v>党群部-综合管理岗（高新）</v>
      </c>
      <c r="E93" s="11" t="str">
        <f>"202408241408"</f>
        <v>202408241408</v>
      </c>
      <c r="F93" s="11">
        <v>14</v>
      </c>
      <c r="G93" s="11">
        <v>8</v>
      </c>
      <c r="H93" s="11">
        <v>0</v>
      </c>
      <c r="I93" s="11">
        <v>0</v>
      </c>
      <c r="J93" s="7" t="s">
        <v>20</v>
      </c>
      <c r="K93" s="7"/>
      <c r="L93" s="11" t="s">
        <v>21</v>
      </c>
    </row>
    <row r="94" ht="28" customHeight="1" spans="1:12">
      <c r="A94" s="11">
        <v>92</v>
      </c>
      <c r="B94" s="11" t="str">
        <f>"龚科源"</f>
        <v>龚科源</v>
      </c>
      <c r="C94" s="11" t="s">
        <v>151</v>
      </c>
      <c r="D94" s="12" t="str">
        <f t="shared" si="13"/>
        <v>党群部-综合管理岗（高新）</v>
      </c>
      <c r="E94" s="11" t="str">
        <f>"202408241412"</f>
        <v>202408241412</v>
      </c>
      <c r="F94" s="11">
        <v>14</v>
      </c>
      <c r="G94" s="11">
        <v>12</v>
      </c>
      <c r="H94" s="11">
        <v>0</v>
      </c>
      <c r="I94" s="11">
        <v>0</v>
      </c>
      <c r="J94" s="7" t="s">
        <v>20</v>
      </c>
      <c r="K94" s="7"/>
      <c r="L94" s="11" t="s">
        <v>21</v>
      </c>
    </row>
    <row r="95" ht="28" customHeight="1" spans="1:12">
      <c r="A95" s="11">
        <v>93</v>
      </c>
      <c r="B95" s="11" t="str">
        <f>"张小飞"</f>
        <v>张小飞</v>
      </c>
      <c r="C95" s="11" t="s">
        <v>152</v>
      </c>
      <c r="D95" s="12" t="str">
        <f t="shared" si="13"/>
        <v>党群部-综合管理岗（高新）</v>
      </c>
      <c r="E95" s="11" t="str">
        <f>"202408240106"</f>
        <v>202408240106</v>
      </c>
      <c r="F95" s="11">
        <v>1</v>
      </c>
      <c r="G95" s="11">
        <v>6</v>
      </c>
      <c r="H95" s="11">
        <v>0</v>
      </c>
      <c r="I95" s="11">
        <v>0</v>
      </c>
      <c r="J95" s="7" t="s">
        <v>20</v>
      </c>
      <c r="K95" s="7"/>
      <c r="L95" s="11" t="s">
        <v>21</v>
      </c>
    </row>
    <row r="96" ht="28" customHeight="1" spans="1:12">
      <c r="A96" s="11">
        <v>94</v>
      </c>
      <c r="B96" s="11" t="str">
        <f>"胡兰馨"</f>
        <v>胡兰馨</v>
      </c>
      <c r="C96" s="11" t="s">
        <v>153</v>
      </c>
      <c r="D96" s="12" t="str">
        <f t="shared" si="13"/>
        <v>党群部-综合管理岗（高新）</v>
      </c>
      <c r="E96" s="11" t="str">
        <f>"202408240207"</f>
        <v>202408240207</v>
      </c>
      <c r="F96" s="11">
        <v>2</v>
      </c>
      <c r="G96" s="11">
        <v>7</v>
      </c>
      <c r="H96" s="11">
        <v>0</v>
      </c>
      <c r="I96" s="11">
        <v>0</v>
      </c>
      <c r="J96" s="7" t="s">
        <v>20</v>
      </c>
      <c r="K96" s="7"/>
      <c r="L96" s="11" t="s">
        <v>21</v>
      </c>
    </row>
    <row r="97" ht="28" customHeight="1" spans="1:12">
      <c r="A97" s="11">
        <v>95</v>
      </c>
      <c r="B97" s="11" t="str">
        <f>"刘露"</f>
        <v>刘露</v>
      </c>
      <c r="C97" s="11" t="s">
        <v>154</v>
      </c>
      <c r="D97" s="12" t="str">
        <f t="shared" si="13"/>
        <v>党群部-综合管理岗（高新）</v>
      </c>
      <c r="E97" s="11" t="str">
        <f>"202408240215"</f>
        <v>202408240215</v>
      </c>
      <c r="F97" s="11">
        <v>2</v>
      </c>
      <c r="G97" s="11">
        <v>15</v>
      </c>
      <c r="H97" s="11">
        <v>0</v>
      </c>
      <c r="I97" s="11">
        <v>0</v>
      </c>
      <c r="J97" s="7" t="s">
        <v>20</v>
      </c>
      <c r="K97" s="7"/>
      <c r="L97" s="11" t="s">
        <v>21</v>
      </c>
    </row>
    <row r="98" ht="28" customHeight="1" spans="1:12">
      <c r="A98" s="11">
        <v>96</v>
      </c>
      <c r="B98" s="11" t="str">
        <f>"罗勇"</f>
        <v>罗勇</v>
      </c>
      <c r="C98" s="11" t="s">
        <v>155</v>
      </c>
      <c r="D98" s="12" t="str">
        <f t="shared" si="13"/>
        <v>党群部-综合管理岗（高新）</v>
      </c>
      <c r="E98" s="11" t="str">
        <f>"202408240217"</f>
        <v>202408240217</v>
      </c>
      <c r="F98" s="11">
        <v>2</v>
      </c>
      <c r="G98" s="11">
        <v>17</v>
      </c>
      <c r="H98" s="11">
        <v>0</v>
      </c>
      <c r="I98" s="11">
        <v>0</v>
      </c>
      <c r="J98" s="7" t="s">
        <v>20</v>
      </c>
      <c r="K98" s="7"/>
      <c r="L98" s="11" t="s">
        <v>21</v>
      </c>
    </row>
    <row r="99" ht="28" customHeight="1" spans="1:12">
      <c r="A99" s="11">
        <v>97</v>
      </c>
      <c r="B99" s="11" t="str">
        <f>"陈燕"</f>
        <v>陈燕</v>
      </c>
      <c r="C99" s="11" t="s">
        <v>156</v>
      </c>
      <c r="D99" s="12" t="str">
        <f t="shared" si="13"/>
        <v>党群部-综合管理岗（高新）</v>
      </c>
      <c r="E99" s="11" t="str">
        <f>"202408240220"</f>
        <v>202408240220</v>
      </c>
      <c r="F99" s="11">
        <v>2</v>
      </c>
      <c r="G99" s="11">
        <v>20</v>
      </c>
      <c r="H99" s="11">
        <v>0</v>
      </c>
      <c r="I99" s="11">
        <v>0</v>
      </c>
      <c r="J99" s="7" t="s">
        <v>20</v>
      </c>
      <c r="K99" s="7"/>
      <c r="L99" s="11" t="s">
        <v>21</v>
      </c>
    </row>
    <row r="100" ht="28" customHeight="1" spans="1:12">
      <c r="A100" s="11">
        <v>98</v>
      </c>
      <c r="B100" s="11" t="str">
        <f>"李秀娟"</f>
        <v>李秀娟</v>
      </c>
      <c r="C100" s="11" t="s">
        <v>157</v>
      </c>
      <c r="D100" s="12" t="str">
        <f t="shared" si="13"/>
        <v>党群部-综合管理岗（高新）</v>
      </c>
      <c r="E100" s="11" t="str">
        <f>"202408240222"</f>
        <v>202408240222</v>
      </c>
      <c r="F100" s="11">
        <v>2</v>
      </c>
      <c r="G100" s="11">
        <v>22</v>
      </c>
      <c r="H100" s="11">
        <v>0</v>
      </c>
      <c r="I100" s="11">
        <v>0</v>
      </c>
      <c r="J100" s="7" t="s">
        <v>20</v>
      </c>
      <c r="K100" s="7"/>
      <c r="L100" s="11" t="s">
        <v>21</v>
      </c>
    </row>
    <row r="101" ht="28" customHeight="1" spans="1:12">
      <c r="A101" s="11">
        <v>99</v>
      </c>
      <c r="B101" s="11" t="str">
        <f>"于莹杰"</f>
        <v>于莹杰</v>
      </c>
      <c r="C101" s="11" t="s">
        <v>158</v>
      </c>
      <c r="D101" s="12" t="str">
        <f t="shared" si="13"/>
        <v>党群部-综合管理岗（高新）</v>
      </c>
      <c r="E101" s="11" t="str">
        <f>"202408240223"</f>
        <v>202408240223</v>
      </c>
      <c r="F101" s="11">
        <v>2</v>
      </c>
      <c r="G101" s="11">
        <v>23</v>
      </c>
      <c r="H101" s="11">
        <v>0</v>
      </c>
      <c r="I101" s="11">
        <v>0</v>
      </c>
      <c r="J101" s="7" t="s">
        <v>20</v>
      </c>
      <c r="K101" s="7"/>
      <c r="L101" s="11" t="s">
        <v>21</v>
      </c>
    </row>
    <row r="102" ht="28" customHeight="1" spans="1:12">
      <c r="A102" s="11">
        <v>100</v>
      </c>
      <c r="B102" s="11" t="str">
        <f>"朱瑞玲"</f>
        <v>朱瑞玲</v>
      </c>
      <c r="C102" s="11" t="s">
        <v>159</v>
      </c>
      <c r="D102" s="12" t="str">
        <f t="shared" si="13"/>
        <v>党群部-综合管理岗（高新）</v>
      </c>
      <c r="E102" s="11" t="str">
        <f>"202408240240"</f>
        <v>202408240240</v>
      </c>
      <c r="F102" s="11">
        <v>2</v>
      </c>
      <c r="G102" s="11">
        <v>40</v>
      </c>
      <c r="H102" s="11">
        <v>0</v>
      </c>
      <c r="I102" s="11">
        <v>0</v>
      </c>
      <c r="J102" s="7" t="s">
        <v>20</v>
      </c>
      <c r="K102" s="7"/>
      <c r="L102" s="11" t="s">
        <v>21</v>
      </c>
    </row>
    <row r="103" ht="28" customHeight="1" spans="1:12">
      <c r="A103" s="11">
        <v>101</v>
      </c>
      <c r="B103" s="11" t="str">
        <f>"袁颖覃"</f>
        <v>袁颖覃</v>
      </c>
      <c r="C103" s="11" t="s">
        <v>160</v>
      </c>
      <c r="D103" s="12" t="str">
        <f t="shared" si="13"/>
        <v>党群部-综合管理岗（高新）</v>
      </c>
      <c r="E103" s="11" t="str">
        <f>"202408240319"</f>
        <v>202408240319</v>
      </c>
      <c r="F103" s="11">
        <v>3</v>
      </c>
      <c r="G103" s="11">
        <v>19</v>
      </c>
      <c r="H103" s="11">
        <v>0</v>
      </c>
      <c r="I103" s="11">
        <v>0</v>
      </c>
      <c r="J103" s="7" t="s">
        <v>20</v>
      </c>
      <c r="K103" s="7"/>
      <c r="L103" s="11" t="s">
        <v>21</v>
      </c>
    </row>
    <row r="104" ht="28" customHeight="1" spans="1:12">
      <c r="A104" s="11">
        <v>102</v>
      </c>
      <c r="B104" s="11" t="str">
        <f>"曹倚菱"</f>
        <v>曹倚菱</v>
      </c>
      <c r="C104" s="11" t="s">
        <v>161</v>
      </c>
      <c r="D104" s="12" t="str">
        <f t="shared" si="13"/>
        <v>党群部-综合管理岗（高新）</v>
      </c>
      <c r="E104" s="11" t="str">
        <f>"202408240330"</f>
        <v>202408240330</v>
      </c>
      <c r="F104" s="11">
        <v>3</v>
      </c>
      <c r="G104" s="11">
        <v>30</v>
      </c>
      <c r="H104" s="11">
        <v>0</v>
      </c>
      <c r="I104" s="11">
        <v>0</v>
      </c>
      <c r="J104" s="7" t="s">
        <v>20</v>
      </c>
      <c r="K104" s="7"/>
      <c r="L104" s="11" t="s">
        <v>21</v>
      </c>
    </row>
    <row r="105" ht="28" customHeight="1" spans="1:12">
      <c r="A105" s="11">
        <v>103</v>
      </c>
      <c r="B105" s="11" t="str">
        <f>"田娇"</f>
        <v>田娇</v>
      </c>
      <c r="C105" s="11" t="s">
        <v>162</v>
      </c>
      <c r="D105" s="12" t="str">
        <f t="shared" si="13"/>
        <v>党群部-综合管理岗（高新）</v>
      </c>
      <c r="E105" s="11" t="str">
        <f>"202408240337"</f>
        <v>202408240337</v>
      </c>
      <c r="F105" s="11">
        <v>3</v>
      </c>
      <c r="G105" s="11">
        <v>37</v>
      </c>
      <c r="H105" s="11">
        <v>0</v>
      </c>
      <c r="I105" s="11">
        <v>0</v>
      </c>
      <c r="J105" s="7" t="s">
        <v>20</v>
      </c>
      <c r="K105" s="7"/>
      <c r="L105" s="11" t="s">
        <v>21</v>
      </c>
    </row>
  </sheetData>
  <mergeCells count="1">
    <mergeCell ref="A1:L1"/>
  </mergeCells>
  <pageMargins left="0.275" right="0" top="0.751388888888889" bottom="0.751388888888889" header="0.298611111111111" footer="0.298611111111111"/>
  <pageSetup paperSize="9" scale="8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E2" sqref="E$1:E$1048576"/>
    </sheetView>
  </sheetViews>
  <sheetFormatPr defaultColWidth="9" defaultRowHeight="14.25"/>
  <cols>
    <col min="1" max="1" width="4.775" customWidth="1"/>
    <col min="3" max="3" width="19.7333333333333" customWidth="1"/>
    <col min="4" max="4" width="27.4416666666667" style="15" customWidth="1"/>
    <col min="5" max="5" width="14" customWidth="1"/>
    <col min="6" max="9" width="9" hidden="1" customWidth="1"/>
    <col min="10" max="10" width="8.875" customWidth="1"/>
    <col min="11" max="11" width="6.775" customWidth="1"/>
    <col min="12" max="12" width="21.225" customWidth="1"/>
  </cols>
  <sheetData>
    <row r="1" s="1" customFormat="1" ht="99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32" customHeight="1" spans="1:1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9" t="s">
        <v>10</v>
      </c>
      <c r="K2" s="5" t="s">
        <v>11</v>
      </c>
      <c r="L2" s="9" t="s">
        <v>12</v>
      </c>
    </row>
    <row r="3" ht="26" customHeight="1" spans="1:12">
      <c r="A3" s="7">
        <v>1</v>
      </c>
      <c r="B3" s="7" t="str">
        <f>"胡桃菠"</f>
        <v>胡桃菠</v>
      </c>
      <c r="C3" s="7" t="s">
        <v>163</v>
      </c>
      <c r="D3" s="8" t="str">
        <f>"纪工委-综合管理岗（高新）"</f>
        <v>纪工委-综合管理岗（高新）</v>
      </c>
      <c r="E3" s="7" t="str">
        <f>"202408240828"</f>
        <v>202408240828</v>
      </c>
      <c r="F3" s="7">
        <v>8</v>
      </c>
      <c r="G3" s="7">
        <v>28</v>
      </c>
      <c r="H3" s="7">
        <v>55</v>
      </c>
      <c r="I3" s="7">
        <v>13</v>
      </c>
      <c r="J3" s="7">
        <f>H3+I3</f>
        <v>68</v>
      </c>
      <c r="K3" s="7">
        <f>RANK(J3,J:J,0)</f>
        <v>1</v>
      </c>
      <c r="L3" s="7" t="s">
        <v>14</v>
      </c>
    </row>
    <row r="4" ht="26" customHeight="1" spans="1:12">
      <c r="A4" s="7">
        <v>2</v>
      </c>
      <c r="B4" s="7" t="str">
        <f>"刘会"</f>
        <v>刘会</v>
      </c>
      <c r="C4" s="7" t="s">
        <v>164</v>
      </c>
      <c r="D4" s="8" t="str">
        <f>"纪工委-综合管理岗（高新）"</f>
        <v>纪工委-综合管理岗（高新）</v>
      </c>
      <c r="E4" s="7" t="str">
        <f>"202408240605"</f>
        <v>202408240605</v>
      </c>
      <c r="F4" s="7">
        <v>6</v>
      </c>
      <c r="G4" s="7">
        <v>5</v>
      </c>
      <c r="H4" s="7">
        <v>44</v>
      </c>
      <c r="I4" s="7">
        <v>19</v>
      </c>
      <c r="J4" s="7">
        <f t="shared" ref="J4:J20" si="0">H4+I4</f>
        <v>63</v>
      </c>
      <c r="K4" s="7">
        <f t="shared" ref="K4:K20" si="1">RANK(J4,J:J,0)</f>
        <v>2</v>
      </c>
      <c r="L4" s="7" t="s">
        <v>14</v>
      </c>
    </row>
    <row r="5" ht="26" customHeight="1" spans="1:12">
      <c r="A5" s="7">
        <v>3</v>
      </c>
      <c r="B5" s="7" t="str">
        <f>"唐吉川"</f>
        <v>唐吉川</v>
      </c>
      <c r="C5" s="7" t="s">
        <v>165</v>
      </c>
      <c r="D5" s="8" t="str">
        <f t="shared" ref="D5:D13" si="2">"纪工委-综合管理岗（高新）"</f>
        <v>纪工委-综合管理岗（高新）</v>
      </c>
      <c r="E5" s="7" t="str">
        <f>"202408240109"</f>
        <v>202408240109</v>
      </c>
      <c r="F5" s="7">
        <v>1</v>
      </c>
      <c r="G5" s="7">
        <v>9</v>
      </c>
      <c r="H5" s="7">
        <v>45</v>
      </c>
      <c r="I5" s="7">
        <v>17.5</v>
      </c>
      <c r="J5" s="7">
        <f t="shared" si="0"/>
        <v>62.5</v>
      </c>
      <c r="K5" s="7">
        <f t="shared" si="1"/>
        <v>3</v>
      </c>
      <c r="L5" s="7" t="s">
        <v>14</v>
      </c>
    </row>
    <row r="6" ht="26" customHeight="1" spans="1:12">
      <c r="A6" s="7">
        <v>4</v>
      </c>
      <c r="B6" s="7" t="str">
        <f>"张镜"</f>
        <v>张镜</v>
      </c>
      <c r="C6" s="7" t="s">
        <v>166</v>
      </c>
      <c r="D6" s="8" t="str">
        <f t="shared" si="2"/>
        <v>纪工委-综合管理岗（高新）</v>
      </c>
      <c r="E6" s="7" t="str">
        <f>"202408240316"</f>
        <v>202408240316</v>
      </c>
      <c r="F6" s="7">
        <v>3</v>
      </c>
      <c r="G6" s="7">
        <v>16</v>
      </c>
      <c r="H6" s="7">
        <v>42</v>
      </c>
      <c r="I6" s="7">
        <v>17</v>
      </c>
      <c r="J6" s="7">
        <f t="shared" si="0"/>
        <v>59</v>
      </c>
      <c r="K6" s="7">
        <f t="shared" si="1"/>
        <v>4</v>
      </c>
      <c r="L6" s="7" t="s">
        <v>14</v>
      </c>
    </row>
    <row r="7" ht="26" customHeight="1" spans="1:12">
      <c r="A7" s="7">
        <v>5</v>
      </c>
      <c r="B7" s="7" t="str">
        <f>"余圳"</f>
        <v>余圳</v>
      </c>
      <c r="C7" s="7" t="s">
        <v>167</v>
      </c>
      <c r="D7" s="8" t="str">
        <f t="shared" si="2"/>
        <v>纪工委-综合管理岗（高新）</v>
      </c>
      <c r="E7" s="7" t="str">
        <f>"202408240333"</f>
        <v>202408240333</v>
      </c>
      <c r="F7" s="7">
        <v>3</v>
      </c>
      <c r="G7" s="7">
        <v>33</v>
      </c>
      <c r="H7" s="7">
        <v>44</v>
      </c>
      <c r="I7" s="7">
        <v>14</v>
      </c>
      <c r="J7" s="7">
        <f t="shared" si="0"/>
        <v>58</v>
      </c>
      <c r="K7" s="7">
        <f t="shared" si="1"/>
        <v>5</v>
      </c>
      <c r="L7" s="7" t="s">
        <v>14</v>
      </c>
    </row>
    <row r="8" ht="26" customHeight="1" spans="1:12">
      <c r="A8" s="7">
        <v>6</v>
      </c>
      <c r="B8" s="7" t="str">
        <f>"张雪梅"</f>
        <v>张雪梅</v>
      </c>
      <c r="C8" s="7" t="s">
        <v>168</v>
      </c>
      <c r="D8" s="8" t="str">
        <f t="shared" si="2"/>
        <v>纪工委-综合管理岗（高新）</v>
      </c>
      <c r="E8" s="7" t="str">
        <f>"202408240734"</f>
        <v>202408240734</v>
      </c>
      <c r="F8" s="7">
        <v>7</v>
      </c>
      <c r="G8" s="7">
        <v>34</v>
      </c>
      <c r="H8" s="7">
        <v>41</v>
      </c>
      <c r="I8" s="7">
        <v>17</v>
      </c>
      <c r="J8" s="7">
        <f t="shared" si="0"/>
        <v>58</v>
      </c>
      <c r="K8" s="7">
        <f t="shared" si="1"/>
        <v>5</v>
      </c>
      <c r="L8" s="7" t="s">
        <v>14</v>
      </c>
    </row>
    <row r="9" ht="26" customHeight="1" spans="1:12">
      <c r="A9" s="7">
        <v>7</v>
      </c>
      <c r="B9" s="7" t="str">
        <f>"黄梅"</f>
        <v>黄梅</v>
      </c>
      <c r="C9" s="7" t="s">
        <v>169</v>
      </c>
      <c r="D9" s="8" t="str">
        <f t="shared" si="2"/>
        <v>纪工委-综合管理岗（高新）</v>
      </c>
      <c r="E9" s="7" t="str">
        <f>"202408240225"</f>
        <v>202408240225</v>
      </c>
      <c r="F9" s="7">
        <v>2</v>
      </c>
      <c r="G9" s="7">
        <v>25</v>
      </c>
      <c r="H9" s="7">
        <v>36</v>
      </c>
      <c r="I9" s="7">
        <v>15</v>
      </c>
      <c r="J9" s="7">
        <f t="shared" si="0"/>
        <v>51</v>
      </c>
      <c r="K9" s="7">
        <f t="shared" si="1"/>
        <v>7</v>
      </c>
      <c r="L9" s="7" t="s">
        <v>21</v>
      </c>
    </row>
    <row r="10" ht="26" customHeight="1" spans="1:12">
      <c r="A10" s="7">
        <v>8</v>
      </c>
      <c r="B10" s="7" t="str">
        <f>"陶永巧"</f>
        <v>陶永巧</v>
      </c>
      <c r="C10" s="7" t="s">
        <v>170</v>
      </c>
      <c r="D10" s="8" t="str">
        <f t="shared" si="2"/>
        <v>纪工委-综合管理岗（高新）</v>
      </c>
      <c r="E10" s="7" t="str">
        <f>"202408240120"</f>
        <v>202408240120</v>
      </c>
      <c r="F10" s="7">
        <v>1</v>
      </c>
      <c r="G10" s="7">
        <v>20</v>
      </c>
      <c r="H10" s="7">
        <v>31</v>
      </c>
      <c r="I10" s="7">
        <v>18</v>
      </c>
      <c r="J10" s="7">
        <f t="shared" si="0"/>
        <v>49</v>
      </c>
      <c r="K10" s="7">
        <f t="shared" si="1"/>
        <v>8</v>
      </c>
      <c r="L10" s="7" t="s">
        <v>21</v>
      </c>
    </row>
    <row r="11" ht="26" customHeight="1" spans="1:12">
      <c r="A11" s="7">
        <v>9</v>
      </c>
      <c r="B11" s="7" t="str">
        <f>"江怡璇"</f>
        <v>江怡璇</v>
      </c>
      <c r="C11" s="7" t="s">
        <v>171</v>
      </c>
      <c r="D11" s="8" t="str">
        <f t="shared" si="2"/>
        <v>纪工委-综合管理岗（高新）</v>
      </c>
      <c r="E11" s="7" t="str">
        <f>"202408241410"</f>
        <v>202408241410</v>
      </c>
      <c r="F11" s="7">
        <v>14</v>
      </c>
      <c r="G11" s="7">
        <v>10</v>
      </c>
      <c r="H11" s="7">
        <v>36</v>
      </c>
      <c r="I11" s="7">
        <v>13</v>
      </c>
      <c r="J11" s="7">
        <f t="shared" si="0"/>
        <v>49</v>
      </c>
      <c r="K11" s="7">
        <f t="shared" si="1"/>
        <v>8</v>
      </c>
      <c r="L11" s="7" t="s">
        <v>21</v>
      </c>
    </row>
    <row r="12" ht="26" customHeight="1" spans="1:12">
      <c r="A12" s="7">
        <v>10</v>
      </c>
      <c r="B12" s="7" t="str">
        <f>"姜国芳"</f>
        <v>姜国芳</v>
      </c>
      <c r="C12" s="7" t="s">
        <v>172</v>
      </c>
      <c r="D12" s="8" t="str">
        <f t="shared" si="2"/>
        <v>纪工委-综合管理岗（高新）</v>
      </c>
      <c r="E12" s="7" t="str">
        <f>"202408240836"</f>
        <v>202408240836</v>
      </c>
      <c r="F12" s="7">
        <v>8</v>
      </c>
      <c r="G12" s="7">
        <v>36</v>
      </c>
      <c r="H12" s="7">
        <v>34</v>
      </c>
      <c r="I12" s="7">
        <v>10</v>
      </c>
      <c r="J12" s="7">
        <f t="shared" si="0"/>
        <v>44</v>
      </c>
      <c r="K12" s="7">
        <f t="shared" si="1"/>
        <v>10</v>
      </c>
      <c r="L12" s="7" t="s">
        <v>21</v>
      </c>
    </row>
    <row r="13" ht="26" customHeight="1" spans="1:12">
      <c r="A13" s="7">
        <v>11</v>
      </c>
      <c r="B13" s="7" t="str">
        <f>"刘从雨"</f>
        <v>刘从雨</v>
      </c>
      <c r="C13" s="7" t="s">
        <v>173</v>
      </c>
      <c r="D13" s="8" t="str">
        <f t="shared" si="2"/>
        <v>纪工委-综合管理岗（高新）</v>
      </c>
      <c r="E13" s="7" t="str">
        <f>"202408240528"</f>
        <v>202408240528</v>
      </c>
      <c r="F13" s="7">
        <v>5</v>
      </c>
      <c r="G13" s="7">
        <v>28</v>
      </c>
      <c r="H13" s="7">
        <v>0</v>
      </c>
      <c r="I13" s="7">
        <v>0</v>
      </c>
      <c r="J13" s="7" t="s">
        <v>20</v>
      </c>
      <c r="K13" s="7"/>
      <c r="L13" s="7" t="s">
        <v>21</v>
      </c>
    </row>
    <row r="14" ht="26" customHeight="1" spans="1:12">
      <c r="A14" s="7">
        <v>12</v>
      </c>
      <c r="B14" s="7" t="str">
        <f>"雷明娟"</f>
        <v>雷明娟</v>
      </c>
      <c r="C14" s="7" t="s">
        <v>174</v>
      </c>
      <c r="D14" s="8" t="str">
        <f t="shared" ref="D14:D20" si="3">"纪工委-综合管理岗（高新）"</f>
        <v>纪工委-综合管理岗（高新）</v>
      </c>
      <c r="E14" s="7" t="str">
        <f>"202408240113"</f>
        <v>202408240113</v>
      </c>
      <c r="F14" s="7">
        <v>1</v>
      </c>
      <c r="G14" s="7">
        <v>13</v>
      </c>
      <c r="H14" s="7">
        <v>0</v>
      </c>
      <c r="I14" s="7">
        <v>0</v>
      </c>
      <c r="J14" s="7" t="s">
        <v>20</v>
      </c>
      <c r="K14" s="7"/>
      <c r="L14" s="7" t="s">
        <v>21</v>
      </c>
    </row>
    <row r="15" ht="26" customHeight="1" spans="1:12">
      <c r="A15" s="7">
        <v>13</v>
      </c>
      <c r="B15" s="7" t="str">
        <f>"张琳英"</f>
        <v>张琳英</v>
      </c>
      <c r="C15" s="7" t="s">
        <v>175</v>
      </c>
      <c r="D15" s="8" t="str">
        <f t="shared" si="3"/>
        <v>纪工委-综合管理岗（高新）</v>
      </c>
      <c r="E15" s="7" t="str">
        <f>"202408240118"</f>
        <v>202408240118</v>
      </c>
      <c r="F15" s="7">
        <v>1</v>
      </c>
      <c r="G15" s="7">
        <v>18</v>
      </c>
      <c r="H15" s="7">
        <v>0</v>
      </c>
      <c r="I15" s="7">
        <v>0</v>
      </c>
      <c r="J15" s="7" t="s">
        <v>20</v>
      </c>
      <c r="K15" s="7"/>
      <c r="L15" s="7" t="s">
        <v>21</v>
      </c>
    </row>
    <row r="16" ht="26" customHeight="1" spans="1:12">
      <c r="A16" s="7">
        <v>14</v>
      </c>
      <c r="B16" s="7" t="str">
        <f>"吕叠"</f>
        <v>吕叠</v>
      </c>
      <c r="C16" s="7" t="s">
        <v>176</v>
      </c>
      <c r="D16" s="8" t="str">
        <f t="shared" si="3"/>
        <v>纪工委-综合管理岗（高新）</v>
      </c>
      <c r="E16" s="7" t="str">
        <f>"202408240231"</f>
        <v>202408240231</v>
      </c>
      <c r="F16" s="7">
        <v>2</v>
      </c>
      <c r="G16" s="7">
        <v>31</v>
      </c>
      <c r="H16" s="7">
        <v>0</v>
      </c>
      <c r="I16" s="7">
        <v>0</v>
      </c>
      <c r="J16" s="7" t="s">
        <v>20</v>
      </c>
      <c r="K16" s="7"/>
      <c r="L16" s="7" t="s">
        <v>21</v>
      </c>
    </row>
    <row r="17" ht="26" customHeight="1" spans="1:12">
      <c r="A17" s="7">
        <v>15</v>
      </c>
      <c r="B17" s="7" t="str">
        <f>"王远杰"</f>
        <v>王远杰</v>
      </c>
      <c r="C17" s="7" t="s">
        <v>177</v>
      </c>
      <c r="D17" s="8" t="str">
        <f t="shared" si="3"/>
        <v>纪工委-综合管理岗（高新）</v>
      </c>
      <c r="E17" s="7" t="str">
        <f>"202408240236"</f>
        <v>202408240236</v>
      </c>
      <c r="F17" s="7">
        <v>2</v>
      </c>
      <c r="G17" s="7">
        <v>36</v>
      </c>
      <c r="H17" s="7">
        <v>0</v>
      </c>
      <c r="I17" s="7">
        <v>0</v>
      </c>
      <c r="J17" s="7" t="s">
        <v>20</v>
      </c>
      <c r="K17" s="7"/>
      <c r="L17" s="7" t="s">
        <v>21</v>
      </c>
    </row>
    <row r="18" ht="26" customHeight="1" spans="1:12">
      <c r="A18" s="7">
        <v>16</v>
      </c>
      <c r="B18" s="7" t="str">
        <f>"赵杰"</f>
        <v>赵杰</v>
      </c>
      <c r="C18" s="7" t="s">
        <v>178</v>
      </c>
      <c r="D18" s="8" t="str">
        <f t="shared" si="3"/>
        <v>纪工委-综合管理岗（高新）</v>
      </c>
      <c r="E18" s="7" t="str">
        <f>"202408240307"</f>
        <v>202408240307</v>
      </c>
      <c r="F18" s="7">
        <v>3</v>
      </c>
      <c r="G18" s="7">
        <v>7</v>
      </c>
      <c r="H18" s="7">
        <v>0</v>
      </c>
      <c r="I18" s="7">
        <v>0</v>
      </c>
      <c r="J18" s="7" t="s">
        <v>20</v>
      </c>
      <c r="K18" s="7"/>
      <c r="L18" s="7" t="s">
        <v>21</v>
      </c>
    </row>
    <row r="19" ht="26" customHeight="1" spans="1:12">
      <c r="A19" s="7">
        <v>17</v>
      </c>
      <c r="B19" s="7" t="str">
        <f>"卢江玲"</f>
        <v>卢江玲</v>
      </c>
      <c r="C19" s="7" t="s">
        <v>179</v>
      </c>
      <c r="D19" s="8" t="str">
        <f t="shared" si="3"/>
        <v>纪工委-综合管理岗（高新）</v>
      </c>
      <c r="E19" s="7" t="str">
        <f>"202408240317"</f>
        <v>202408240317</v>
      </c>
      <c r="F19" s="7">
        <v>3</v>
      </c>
      <c r="G19" s="7">
        <v>17</v>
      </c>
      <c r="H19" s="7">
        <v>0</v>
      </c>
      <c r="I19" s="7">
        <v>0</v>
      </c>
      <c r="J19" s="7" t="s">
        <v>20</v>
      </c>
      <c r="K19" s="7"/>
      <c r="L19" s="7" t="s">
        <v>21</v>
      </c>
    </row>
    <row r="20" ht="26" customHeight="1" spans="1:12">
      <c r="A20" s="7">
        <v>18</v>
      </c>
      <c r="B20" s="7" t="str">
        <f>"肖艳"</f>
        <v>肖艳</v>
      </c>
      <c r="C20" s="7" t="s">
        <v>180</v>
      </c>
      <c r="D20" s="8" t="str">
        <f t="shared" si="3"/>
        <v>纪工委-综合管理岗（高新）</v>
      </c>
      <c r="E20" s="7" t="str">
        <f>"202408240332"</f>
        <v>202408240332</v>
      </c>
      <c r="F20" s="7">
        <v>3</v>
      </c>
      <c r="G20" s="7">
        <v>32</v>
      </c>
      <c r="H20" s="7">
        <v>0</v>
      </c>
      <c r="I20" s="7">
        <v>0</v>
      </c>
      <c r="J20" s="7" t="s">
        <v>20</v>
      </c>
      <c r="K20" s="7"/>
      <c r="L20" s="7" t="s">
        <v>21</v>
      </c>
    </row>
  </sheetData>
  <sortState ref="A2:N19">
    <sortCondition ref="J2" descending="1"/>
  </sortState>
  <mergeCells count="1">
    <mergeCell ref="A1:L1"/>
  </mergeCells>
  <pageMargins left="0" right="0" top="0.751388888888889" bottom="0.751388888888889" header="0.298611111111111" footer="0.298611111111111"/>
  <pageSetup paperSize="9" scale="8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workbookViewId="0">
      <selection activeCell="J8" sqref="J8"/>
    </sheetView>
  </sheetViews>
  <sheetFormatPr defaultColWidth="9" defaultRowHeight="14.25" outlineLevelRow="3"/>
  <cols>
    <col min="1" max="1" width="4.66666666666667" customWidth="1"/>
    <col min="2" max="2" width="5.44166666666667" customWidth="1"/>
    <col min="3" max="3" width="19.7333333333333" customWidth="1"/>
    <col min="4" max="4" width="26.1083333333333" customWidth="1"/>
    <col min="5" max="5" width="14.6666666666667" customWidth="1"/>
    <col min="6" max="9" width="9" hidden="1" customWidth="1"/>
    <col min="10" max="10" width="8.25" customWidth="1"/>
    <col min="11" max="11" width="6.66666666666667" customWidth="1"/>
    <col min="12" max="12" width="16.125" customWidth="1"/>
  </cols>
  <sheetData>
    <row r="1" s="1" customFormat="1" ht="99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32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9" t="s">
        <v>10</v>
      </c>
      <c r="K2" s="5" t="s">
        <v>11</v>
      </c>
      <c r="L2" s="9" t="s">
        <v>12</v>
      </c>
    </row>
    <row r="3" ht="26" customHeight="1" spans="1:12">
      <c r="A3" s="7">
        <v>1</v>
      </c>
      <c r="B3" s="7" t="str">
        <f>"杨硕"</f>
        <v>杨硕</v>
      </c>
      <c r="C3" s="7" t="s">
        <v>181</v>
      </c>
      <c r="D3" s="7" t="str">
        <f>"社事局-劳动协调岗（高新）"</f>
        <v>社事局-劳动协调岗（高新）</v>
      </c>
      <c r="E3" s="7" t="str">
        <f>"202408240130"</f>
        <v>202408240130</v>
      </c>
      <c r="F3" s="7">
        <v>1</v>
      </c>
      <c r="G3" s="7">
        <v>30</v>
      </c>
      <c r="H3" s="7">
        <v>43</v>
      </c>
      <c r="I3" s="7">
        <v>20</v>
      </c>
      <c r="J3" s="7">
        <f>H3+I3</f>
        <v>63</v>
      </c>
      <c r="K3" s="7">
        <f>RANK(J3,J:J,0)</f>
        <v>1</v>
      </c>
      <c r="L3" s="7" t="s">
        <v>14</v>
      </c>
    </row>
    <row r="4" ht="26" customHeight="1" spans="1:12">
      <c r="A4" s="7">
        <v>2</v>
      </c>
      <c r="B4" s="7" t="str">
        <f>"刘阳"</f>
        <v>刘阳</v>
      </c>
      <c r="C4" s="7" t="s">
        <v>182</v>
      </c>
      <c r="D4" s="7" t="str">
        <f>"社事局-劳动协调岗（高新）"</f>
        <v>社事局-劳动协调岗（高新）</v>
      </c>
      <c r="E4" s="7" t="str">
        <f>"202408240714"</f>
        <v>202408240714</v>
      </c>
      <c r="F4" s="7">
        <v>7</v>
      </c>
      <c r="G4" s="7">
        <v>14</v>
      </c>
      <c r="H4" s="7">
        <v>42</v>
      </c>
      <c r="I4" s="7">
        <v>12</v>
      </c>
      <c r="J4" s="7">
        <f>H4+I4</f>
        <v>54</v>
      </c>
      <c r="K4" s="7">
        <f>RANK(J4,J:J,0)</f>
        <v>2</v>
      </c>
      <c r="L4" s="7" t="s">
        <v>14</v>
      </c>
    </row>
  </sheetData>
  <mergeCells count="1">
    <mergeCell ref="A1:L1"/>
  </mergeCells>
  <pageMargins left="0.700694444444445" right="0.700694444444445" top="0.751388888888889" bottom="0.751388888888889" header="0.298611111111111" footer="0.298611111111111"/>
  <pageSetup paperSize="9" scale="8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workbookViewId="0">
      <selection activeCell="E2" sqref="E$1:E$1048576"/>
    </sheetView>
  </sheetViews>
  <sheetFormatPr defaultColWidth="9" defaultRowHeight="14.25"/>
  <cols>
    <col min="1" max="1" width="4.89166666666667" customWidth="1"/>
    <col min="3" max="3" width="19.7333333333333" customWidth="1"/>
    <col min="4" max="4" width="25.775" style="15" customWidth="1"/>
    <col min="5" max="5" width="14.1083333333333" customWidth="1"/>
    <col min="6" max="9" width="9" hidden="1" customWidth="1"/>
    <col min="10" max="10" width="8.875" customWidth="1"/>
    <col min="11" max="11" width="6.44166666666667" customWidth="1"/>
    <col min="12" max="12" width="16.875" customWidth="1"/>
  </cols>
  <sheetData>
    <row r="1" s="1" customFormat="1" ht="99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32" customHeight="1" spans="1:1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9" t="s">
        <v>10</v>
      </c>
      <c r="K2" s="5" t="s">
        <v>11</v>
      </c>
      <c r="L2" s="9" t="s">
        <v>12</v>
      </c>
    </row>
    <row r="3" ht="27" customHeight="1" spans="1:12">
      <c r="A3" s="7">
        <v>1</v>
      </c>
      <c r="B3" s="7" t="str">
        <f>"杨惠缘"</f>
        <v>杨惠缘</v>
      </c>
      <c r="C3" s="7" t="s">
        <v>183</v>
      </c>
      <c r="D3" s="8" t="str">
        <f t="shared" ref="D3:D9" si="0">"社事局-土地流转岗（高新）"</f>
        <v>社事局-土地流转岗（高新）</v>
      </c>
      <c r="E3" s="7" t="str">
        <f>"202408240826"</f>
        <v>202408240826</v>
      </c>
      <c r="F3" s="7">
        <v>8</v>
      </c>
      <c r="G3" s="7">
        <v>26</v>
      </c>
      <c r="H3" s="7">
        <v>42</v>
      </c>
      <c r="I3" s="7">
        <v>15</v>
      </c>
      <c r="J3" s="7">
        <f>H3+I3</f>
        <v>57</v>
      </c>
      <c r="K3" s="7">
        <f>RANK(J3,J:J,0)</f>
        <v>1</v>
      </c>
      <c r="L3" s="7" t="s">
        <v>14</v>
      </c>
    </row>
    <row r="4" ht="27" customHeight="1" spans="1:12">
      <c r="A4" s="7">
        <v>2</v>
      </c>
      <c r="B4" s="7" t="str">
        <f>"陈宇姣"</f>
        <v>陈宇姣</v>
      </c>
      <c r="C4" s="7" t="s">
        <v>184</v>
      </c>
      <c r="D4" s="8" t="str">
        <f t="shared" si="0"/>
        <v>社事局-土地流转岗（高新）</v>
      </c>
      <c r="E4" s="7" t="str">
        <f>"202408240804"</f>
        <v>202408240804</v>
      </c>
      <c r="F4" s="7">
        <v>8</v>
      </c>
      <c r="G4" s="7">
        <v>4</v>
      </c>
      <c r="H4" s="7">
        <v>34</v>
      </c>
      <c r="I4" s="7">
        <v>18</v>
      </c>
      <c r="J4" s="7">
        <f t="shared" ref="J4:J9" si="1">H4+I4</f>
        <v>52</v>
      </c>
      <c r="K4" s="7">
        <f>RANK(J4,J:J,0)</f>
        <v>2</v>
      </c>
      <c r="L4" s="7" t="s">
        <v>14</v>
      </c>
    </row>
    <row r="5" ht="27" customHeight="1" spans="1:12">
      <c r="A5" s="7">
        <v>3</v>
      </c>
      <c r="B5" s="7" t="str">
        <f>"干利纳"</f>
        <v>干利纳</v>
      </c>
      <c r="C5" s="7" t="s">
        <v>185</v>
      </c>
      <c r="D5" s="8" t="str">
        <f t="shared" si="0"/>
        <v>社事局-土地流转岗（高新）</v>
      </c>
      <c r="E5" s="7" t="str">
        <f>"202408240837"</f>
        <v>202408240837</v>
      </c>
      <c r="F5" s="7">
        <v>8</v>
      </c>
      <c r="G5" s="7">
        <v>37</v>
      </c>
      <c r="H5" s="7">
        <v>40</v>
      </c>
      <c r="I5" s="7">
        <v>11</v>
      </c>
      <c r="J5" s="7">
        <f t="shared" si="1"/>
        <v>51</v>
      </c>
      <c r="K5" s="7">
        <f>RANK(J5,J:J,0)</f>
        <v>3</v>
      </c>
      <c r="L5" s="7" t="s">
        <v>14</v>
      </c>
    </row>
    <row r="6" ht="27" customHeight="1" spans="1:12">
      <c r="A6" s="7">
        <v>4</v>
      </c>
      <c r="B6" s="7" t="str">
        <f>"方余杰"</f>
        <v>方余杰</v>
      </c>
      <c r="C6" s="7" t="s">
        <v>186</v>
      </c>
      <c r="D6" s="8" t="str">
        <f t="shared" si="0"/>
        <v>社事局-土地流转岗（高新）</v>
      </c>
      <c r="E6" s="7" t="str">
        <f>"202408240613"</f>
        <v>202408240613</v>
      </c>
      <c r="F6" s="7">
        <v>6</v>
      </c>
      <c r="G6" s="7">
        <v>13</v>
      </c>
      <c r="H6" s="7">
        <v>32</v>
      </c>
      <c r="I6" s="7">
        <v>10</v>
      </c>
      <c r="J6" s="7">
        <f t="shared" si="1"/>
        <v>42</v>
      </c>
      <c r="K6" s="7">
        <f>RANK(J6,J:J,0)</f>
        <v>4</v>
      </c>
      <c r="L6" s="7" t="s">
        <v>14</v>
      </c>
    </row>
    <row r="7" ht="27" customHeight="1" spans="1:12">
      <c r="A7" s="7">
        <v>5</v>
      </c>
      <c r="B7" s="7" t="str">
        <f>"戢玉娟"</f>
        <v>戢玉娟</v>
      </c>
      <c r="C7" s="7" t="s">
        <v>187</v>
      </c>
      <c r="D7" s="8" t="str">
        <f t="shared" si="0"/>
        <v>社事局-土地流转岗（高新）</v>
      </c>
      <c r="E7" s="7" t="str">
        <f>"202408240311"</f>
        <v>202408240311</v>
      </c>
      <c r="F7" s="7">
        <v>3</v>
      </c>
      <c r="G7" s="7">
        <v>11</v>
      </c>
      <c r="H7" s="7">
        <v>0</v>
      </c>
      <c r="I7" s="7">
        <v>0</v>
      </c>
      <c r="J7" s="7" t="s">
        <v>20</v>
      </c>
      <c r="K7" s="7"/>
      <c r="L7" s="7" t="s">
        <v>21</v>
      </c>
    </row>
    <row r="8" ht="27" customHeight="1" spans="1:12">
      <c r="A8" s="7">
        <v>6</v>
      </c>
      <c r="B8" s="7" t="str">
        <f>"周淼"</f>
        <v>周淼</v>
      </c>
      <c r="C8" s="7" t="s">
        <v>188</v>
      </c>
      <c r="D8" s="8" t="str">
        <f t="shared" si="0"/>
        <v>社事局-土地流转岗（高新）</v>
      </c>
      <c r="E8" s="7" t="str">
        <f>"202408240117"</f>
        <v>202408240117</v>
      </c>
      <c r="F8" s="7">
        <v>1</v>
      </c>
      <c r="G8" s="7">
        <v>17</v>
      </c>
      <c r="H8" s="7">
        <v>0</v>
      </c>
      <c r="I8" s="7">
        <v>0</v>
      </c>
      <c r="J8" s="7" t="s">
        <v>20</v>
      </c>
      <c r="K8" s="7"/>
      <c r="L8" s="7" t="s">
        <v>21</v>
      </c>
    </row>
    <row r="9" ht="27" customHeight="1" spans="1:12">
      <c r="A9" s="7">
        <v>7</v>
      </c>
      <c r="B9" s="7" t="str">
        <f>"李俊梅"</f>
        <v>李俊梅</v>
      </c>
      <c r="C9" s="7" t="s">
        <v>189</v>
      </c>
      <c r="D9" s="8" t="str">
        <f t="shared" si="0"/>
        <v>社事局-土地流转岗（高新）</v>
      </c>
      <c r="E9" s="7" t="str">
        <f>"202408240216"</f>
        <v>202408240216</v>
      </c>
      <c r="F9" s="7">
        <v>2</v>
      </c>
      <c r="G9" s="7">
        <v>16</v>
      </c>
      <c r="H9" s="7">
        <v>0</v>
      </c>
      <c r="I9" s="7">
        <v>0</v>
      </c>
      <c r="J9" s="7" t="s">
        <v>20</v>
      </c>
      <c r="K9" s="7"/>
      <c r="L9" s="7" t="s">
        <v>21</v>
      </c>
    </row>
  </sheetData>
  <mergeCells count="1">
    <mergeCell ref="A1:L1"/>
  </mergeCells>
  <pageMargins left="0" right="0" top="0.751388888888889" bottom="0.751388888888889" header="0.298611111111111" footer="0.298611111111111"/>
  <pageSetup paperSize="9" scale="9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"/>
  <sheetViews>
    <sheetView workbookViewId="0">
      <selection activeCell="E2" sqref="E$1:E$1048576"/>
    </sheetView>
  </sheetViews>
  <sheetFormatPr defaultColWidth="9" defaultRowHeight="14.25"/>
  <cols>
    <col min="1" max="1" width="4.775" style="13" customWidth="1"/>
    <col min="2" max="2" width="7.33333333333333" style="13" customWidth="1"/>
    <col min="3" max="3" width="19.7333333333333" style="13" customWidth="1"/>
    <col min="4" max="4" width="35.3333333333333" style="14" customWidth="1"/>
    <col min="5" max="5" width="15.4416666666667" style="13" customWidth="1"/>
    <col min="6" max="9" width="9" style="13" hidden="1" customWidth="1"/>
    <col min="10" max="10" width="9" style="13"/>
    <col min="11" max="11" width="6" style="13" customWidth="1"/>
    <col min="12" max="12" width="20.25" style="13" customWidth="1"/>
    <col min="13" max="16384" width="9" style="13"/>
  </cols>
  <sheetData>
    <row r="1" s="1" customFormat="1" ht="99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32" customHeight="1" spans="1:1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9" t="s">
        <v>10</v>
      </c>
      <c r="K2" s="5" t="s">
        <v>11</v>
      </c>
      <c r="L2" s="9" t="s">
        <v>12</v>
      </c>
    </row>
    <row r="3" ht="28" customHeight="1" spans="1:12">
      <c r="A3" s="11">
        <v>1</v>
      </c>
      <c r="B3" s="11" t="str">
        <f>"冯潇"</f>
        <v>冯潇</v>
      </c>
      <c r="C3" s="11" t="s">
        <v>190</v>
      </c>
      <c r="D3" s="12" t="str">
        <f>"审批局-企业（工程）服务岗（高新）"</f>
        <v>审批局-企业（工程）服务岗（高新）</v>
      </c>
      <c r="E3" s="11" t="str">
        <f>"202408240713"</f>
        <v>202408240713</v>
      </c>
      <c r="F3" s="11">
        <v>7</v>
      </c>
      <c r="G3" s="11">
        <v>13</v>
      </c>
      <c r="H3" s="11">
        <v>50</v>
      </c>
      <c r="I3" s="11">
        <v>19</v>
      </c>
      <c r="J3" s="11">
        <f t="shared" ref="J3:J12" si="0">H3+I3</f>
        <v>69</v>
      </c>
      <c r="K3" s="11">
        <f>RANK(J3,J:J,0)</f>
        <v>1</v>
      </c>
      <c r="L3" s="11" t="s">
        <v>14</v>
      </c>
    </row>
    <row r="4" ht="28" customHeight="1" spans="1:12">
      <c r="A4" s="11">
        <v>2</v>
      </c>
      <c r="B4" s="11" t="str">
        <f>"曾壮"</f>
        <v>曾壮</v>
      </c>
      <c r="C4" s="11" t="s">
        <v>191</v>
      </c>
      <c r="D4" s="12" t="str">
        <f>"审批局-企业（工程）服务岗（高新）"</f>
        <v>审批局-企业（工程）服务岗（高新）</v>
      </c>
      <c r="E4" s="11" t="str">
        <f>"202408240621"</f>
        <v>202408240621</v>
      </c>
      <c r="F4" s="11">
        <v>6</v>
      </c>
      <c r="G4" s="11">
        <v>21</v>
      </c>
      <c r="H4" s="11">
        <v>42</v>
      </c>
      <c r="I4" s="11">
        <v>20.5</v>
      </c>
      <c r="J4" s="11">
        <f t="shared" si="0"/>
        <v>62.5</v>
      </c>
      <c r="K4" s="11">
        <f t="shared" ref="K4:K35" si="1">RANK(J4,J:J,0)</f>
        <v>2</v>
      </c>
      <c r="L4" s="11" t="s">
        <v>14</v>
      </c>
    </row>
    <row r="5" ht="28" customHeight="1" spans="1:12">
      <c r="A5" s="11">
        <v>3</v>
      </c>
      <c r="B5" s="11" t="str">
        <f>"张亮"</f>
        <v>张亮</v>
      </c>
      <c r="C5" s="11" t="s">
        <v>192</v>
      </c>
      <c r="D5" s="12" t="str">
        <f>"审批局-企业（工程）服务岗（高新）"</f>
        <v>审批局-企业（工程）服务岗（高新）</v>
      </c>
      <c r="E5" s="11" t="str">
        <f>"202408240919"</f>
        <v>202408240919</v>
      </c>
      <c r="F5" s="11">
        <v>9</v>
      </c>
      <c r="G5" s="11">
        <v>19</v>
      </c>
      <c r="H5" s="11">
        <v>49</v>
      </c>
      <c r="I5" s="11">
        <v>13</v>
      </c>
      <c r="J5" s="11">
        <f t="shared" si="0"/>
        <v>62</v>
      </c>
      <c r="K5" s="11">
        <f t="shared" si="1"/>
        <v>3</v>
      </c>
      <c r="L5" s="11" t="s">
        <v>14</v>
      </c>
    </row>
    <row r="6" ht="28" customHeight="1" spans="1:12">
      <c r="A6" s="11">
        <v>4</v>
      </c>
      <c r="B6" s="11" t="str">
        <f>"陈婷婷"</f>
        <v>陈婷婷</v>
      </c>
      <c r="C6" s="11" t="s">
        <v>193</v>
      </c>
      <c r="D6" s="12" t="str">
        <f t="shared" ref="D6:D55" si="2">"审批局-企业（工程）服务岗（高新）"</f>
        <v>审批局-企业（工程）服务岗（高新）</v>
      </c>
      <c r="E6" s="11" t="str">
        <f>"202408240915"</f>
        <v>202408240915</v>
      </c>
      <c r="F6" s="11">
        <v>9</v>
      </c>
      <c r="G6" s="11">
        <v>15</v>
      </c>
      <c r="H6" s="11">
        <v>47</v>
      </c>
      <c r="I6" s="11">
        <v>14</v>
      </c>
      <c r="J6" s="11">
        <f t="shared" si="0"/>
        <v>61</v>
      </c>
      <c r="K6" s="11">
        <f t="shared" si="1"/>
        <v>4</v>
      </c>
      <c r="L6" s="11" t="s">
        <v>14</v>
      </c>
    </row>
    <row r="7" ht="28" customHeight="1" spans="1:12">
      <c r="A7" s="11">
        <v>5</v>
      </c>
      <c r="B7" s="11" t="str">
        <f>"陈薪宇"</f>
        <v>陈薪宇</v>
      </c>
      <c r="C7" s="11" t="s">
        <v>194</v>
      </c>
      <c r="D7" s="12" t="str">
        <f t="shared" si="2"/>
        <v>审批局-企业（工程）服务岗（高新）</v>
      </c>
      <c r="E7" s="11" t="str">
        <f>"202408240931"</f>
        <v>202408240931</v>
      </c>
      <c r="F7" s="11">
        <v>9</v>
      </c>
      <c r="G7" s="11">
        <v>31</v>
      </c>
      <c r="H7" s="11">
        <v>41</v>
      </c>
      <c r="I7" s="11">
        <v>20</v>
      </c>
      <c r="J7" s="11">
        <f t="shared" si="0"/>
        <v>61</v>
      </c>
      <c r="K7" s="11">
        <f t="shared" si="1"/>
        <v>4</v>
      </c>
      <c r="L7" s="11" t="s">
        <v>14</v>
      </c>
    </row>
    <row r="8" ht="28" customHeight="1" spans="1:12">
      <c r="A8" s="11">
        <v>6</v>
      </c>
      <c r="B8" s="11" t="str">
        <f>"杨艳"</f>
        <v>杨艳</v>
      </c>
      <c r="C8" s="11" t="s">
        <v>195</v>
      </c>
      <c r="D8" s="12" t="str">
        <f t="shared" si="2"/>
        <v>审批局-企业（工程）服务岗（高新）</v>
      </c>
      <c r="E8" s="11" t="str">
        <f>"202408240639"</f>
        <v>202408240639</v>
      </c>
      <c r="F8" s="11">
        <v>6</v>
      </c>
      <c r="G8" s="11">
        <v>39</v>
      </c>
      <c r="H8" s="11">
        <v>45</v>
      </c>
      <c r="I8" s="11">
        <v>15</v>
      </c>
      <c r="J8" s="11">
        <f t="shared" si="0"/>
        <v>60</v>
      </c>
      <c r="K8" s="11">
        <f t="shared" si="1"/>
        <v>6</v>
      </c>
      <c r="L8" s="11" t="s">
        <v>21</v>
      </c>
    </row>
    <row r="9" ht="28" customHeight="1" spans="1:12">
      <c r="A9" s="11">
        <v>7</v>
      </c>
      <c r="B9" s="11" t="str">
        <f>"孟江丽"</f>
        <v>孟江丽</v>
      </c>
      <c r="C9" s="11" t="s">
        <v>196</v>
      </c>
      <c r="D9" s="12" t="str">
        <f t="shared" si="2"/>
        <v>审批局-企业（工程）服务岗（高新）</v>
      </c>
      <c r="E9" s="11" t="str">
        <f>"202408240531"</f>
        <v>202408240531</v>
      </c>
      <c r="F9" s="11">
        <v>5</v>
      </c>
      <c r="G9" s="11">
        <v>31</v>
      </c>
      <c r="H9" s="11">
        <v>41</v>
      </c>
      <c r="I9" s="11">
        <v>18</v>
      </c>
      <c r="J9" s="11">
        <f t="shared" si="0"/>
        <v>59</v>
      </c>
      <c r="K9" s="11">
        <f t="shared" si="1"/>
        <v>7</v>
      </c>
      <c r="L9" s="11" t="s">
        <v>21</v>
      </c>
    </row>
    <row r="10" ht="28" customHeight="1" spans="1:12">
      <c r="A10" s="11">
        <v>8</v>
      </c>
      <c r="B10" s="11" t="str">
        <f>"张逸昀"</f>
        <v>张逸昀</v>
      </c>
      <c r="C10" s="11" t="s">
        <v>197</v>
      </c>
      <c r="D10" s="12" t="str">
        <f t="shared" si="2"/>
        <v>审批局-企业（工程）服务岗（高新）</v>
      </c>
      <c r="E10" s="11" t="str">
        <f>"202408240908"</f>
        <v>202408240908</v>
      </c>
      <c r="F10" s="11">
        <v>9</v>
      </c>
      <c r="G10" s="11">
        <v>8</v>
      </c>
      <c r="H10" s="11">
        <v>43</v>
      </c>
      <c r="I10" s="11">
        <v>15</v>
      </c>
      <c r="J10" s="11">
        <f t="shared" si="0"/>
        <v>58</v>
      </c>
      <c r="K10" s="11">
        <f t="shared" si="1"/>
        <v>8</v>
      </c>
      <c r="L10" s="11" t="s">
        <v>21</v>
      </c>
    </row>
    <row r="11" ht="28" customHeight="1" spans="1:12">
      <c r="A11" s="11">
        <v>9</v>
      </c>
      <c r="B11" s="11" t="str">
        <f>"何纪庆"</f>
        <v>何纪庆</v>
      </c>
      <c r="C11" s="11" t="s">
        <v>198</v>
      </c>
      <c r="D11" s="12" t="str">
        <f t="shared" si="2"/>
        <v>审批局-企业（工程）服务岗（高新）</v>
      </c>
      <c r="E11" s="11" t="str">
        <f>"202408240923"</f>
        <v>202408240923</v>
      </c>
      <c r="F11" s="11">
        <v>9</v>
      </c>
      <c r="G11" s="11">
        <v>23</v>
      </c>
      <c r="H11" s="11">
        <v>43</v>
      </c>
      <c r="I11" s="11">
        <v>15</v>
      </c>
      <c r="J11" s="11">
        <f t="shared" si="0"/>
        <v>58</v>
      </c>
      <c r="K11" s="11">
        <f t="shared" si="1"/>
        <v>8</v>
      </c>
      <c r="L11" s="11" t="s">
        <v>21</v>
      </c>
    </row>
    <row r="12" ht="28" customHeight="1" spans="1:12">
      <c r="A12" s="11">
        <v>10</v>
      </c>
      <c r="B12" s="11" t="str">
        <f>"李伟杰"</f>
        <v>李伟杰</v>
      </c>
      <c r="C12" s="11" t="s">
        <v>199</v>
      </c>
      <c r="D12" s="12" t="str">
        <f t="shared" si="2"/>
        <v>审批局-企业（工程）服务岗（高新）</v>
      </c>
      <c r="E12" s="11" t="str">
        <f>"202408241425"</f>
        <v>202408241425</v>
      </c>
      <c r="F12" s="11">
        <v>14</v>
      </c>
      <c r="G12" s="11">
        <v>25</v>
      </c>
      <c r="H12" s="11">
        <v>43</v>
      </c>
      <c r="I12" s="11">
        <v>15</v>
      </c>
      <c r="J12" s="11">
        <f t="shared" si="0"/>
        <v>58</v>
      </c>
      <c r="K12" s="11">
        <f t="shared" si="1"/>
        <v>8</v>
      </c>
      <c r="L12" s="11" t="s">
        <v>21</v>
      </c>
    </row>
    <row r="13" ht="28" customHeight="1" spans="1:12">
      <c r="A13" s="11">
        <v>11</v>
      </c>
      <c r="B13" s="11" t="s">
        <v>200</v>
      </c>
      <c r="C13" s="11" t="s">
        <v>201</v>
      </c>
      <c r="D13" s="12" t="str">
        <f t="shared" si="2"/>
        <v>审批局-企业（工程）服务岗（高新）</v>
      </c>
      <c r="E13" s="11" t="s">
        <v>202</v>
      </c>
      <c r="F13" s="11">
        <v>3</v>
      </c>
      <c r="G13" s="11">
        <v>24</v>
      </c>
      <c r="H13" s="11">
        <v>35</v>
      </c>
      <c r="I13" s="11">
        <v>18</v>
      </c>
      <c r="J13" s="11">
        <v>53</v>
      </c>
      <c r="K13" s="11">
        <f t="shared" si="1"/>
        <v>11</v>
      </c>
      <c r="L13" s="11" t="s">
        <v>21</v>
      </c>
    </row>
    <row r="14" ht="28" customHeight="1" spans="1:12">
      <c r="A14" s="11">
        <v>12</v>
      </c>
      <c r="B14" s="11" t="str">
        <f>"余俊文"</f>
        <v>余俊文</v>
      </c>
      <c r="C14" s="11" t="s">
        <v>203</v>
      </c>
      <c r="D14" s="12" t="str">
        <f t="shared" si="2"/>
        <v>审批局-企业（工程）服务岗（高新）</v>
      </c>
      <c r="E14" s="11" t="str">
        <f>"202408240903"</f>
        <v>202408240903</v>
      </c>
      <c r="F14" s="11">
        <v>9</v>
      </c>
      <c r="G14" s="11">
        <v>3</v>
      </c>
      <c r="H14" s="11">
        <v>38</v>
      </c>
      <c r="I14" s="11">
        <v>13</v>
      </c>
      <c r="J14" s="11">
        <f t="shared" ref="J14:J20" si="3">H14+I14</f>
        <v>51</v>
      </c>
      <c r="K14" s="11">
        <f t="shared" si="1"/>
        <v>12</v>
      </c>
      <c r="L14" s="11" t="s">
        <v>21</v>
      </c>
    </row>
    <row r="15" ht="28" customHeight="1" spans="1:12">
      <c r="A15" s="11">
        <v>13</v>
      </c>
      <c r="B15" s="11" t="str">
        <f>"宋柄男"</f>
        <v>宋柄男</v>
      </c>
      <c r="C15" s="11" t="s">
        <v>204</v>
      </c>
      <c r="D15" s="12" t="str">
        <f t="shared" si="2"/>
        <v>审批局-企业（工程）服务岗（高新）</v>
      </c>
      <c r="E15" s="11" t="str">
        <f>"202408240502"</f>
        <v>202408240502</v>
      </c>
      <c r="F15" s="11">
        <v>5</v>
      </c>
      <c r="G15" s="11">
        <v>2</v>
      </c>
      <c r="H15" s="11">
        <v>38</v>
      </c>
      <c r="I15" s="11">
        <v>11</v>
      </c>
      <c r="J15" s="11">
        <f t="shared" si="3"/>
        <v>49</v>
      </c>
      <c r="K15" s="11">
        <f t="shared" si="1"/>
        <v>13</v>
      </c>
      <c r="L15" s="11" t="s">
        <v>21</v>
      </c>
    </row>
    <row r="16" ht="28" customHeight="1" spans="1:12">
      <c r="A16" s="11">
        <v>14</v>
      </c>
      <c r="B16" s="11" t="str">
        <f>"张芳"</f>
        <v>张芳</v>
      </c>
      <c r="C16" s="11" t="s">
        <v>205</v>
      </c>
      <c r="D16" s="12" t="str">
        <f t="shared" si="2"/>
        <v>审批局-企业（工程）服务岗（高新）</v>
      </c>
      <c r="E16" s="11" t="str">
        <f>"202408240902"</f>
        <v>202408240902</v>
      </c>
      <c r="F16" s="11">
        <v>9</v>
      </c>
      <c r="G16" s="11">
        <v>2</v>
      </c>
      <c r="H16" s="11">
        <v>35</v>
      </c>
      <c r="I16" s="11">
        <v>14</v>
      </c>
      <c r="J16" s="11">
        <f t="shared" si="3"/>
        <v>49</v>
      </c>
      <c r="K16" s="11">
        <f t="shared" si="1"/>
        <v>13</v>
      </c>
      <c r="L16" s="11" t="s">
        <v>21</v>
      </c>
    </row>
    <row r="17" ht="28" customHeight="1" spans="1:12">
      <c r="A17" s="11">
        <v>15</v>
      </c>
      <c r="B17" s="11" t="str">
        <f>"杨蕴"</f>
        <v>杨蕴</v>
      </c>
      <c r="C17" s="11" t="s">
        <v>206</v>
      </c>
      <c r="D17" s="12" t="str">
        <f t="shared" si="2"/>
        <v>审批局-企业（工程）服务岗（高新）</v>
      </c>
      <c r="E17" s="11" t="str">
        <f>"202408240527"</f>
        <v>202408240527</v>
      </c>
      <c r="F17" s="11">
        <v>5</v>
      </c>
      <c r="G17" s="11">
        <v>27</v>
      </c>
      <c r="H17" s="11">
        <v>34</v>
      </c>
      <c r="I17" s="11">
        <v>13</v>
      </c>
      <c r="J17" s="11">
        <f t="shared" si="3"/>
        <v>47</v>
      </c>
      <c r="K17" s="11">
        <f t="shared" si="1"/>
        <v>15</v>
      </c>
      <c r="L17" s="11" t="s">
        <v>21</v>
      </c>
    </row>
    <row r="18" ht="28" customHeight="1" spans="1:12">
      <c r="A18" s="11">
        <v>16</v>
      </c>
      <c r="B18" s="11" t="str">
        <f>"鲁一泽"</f>
        <v>鲁一泽</v>
      </c>
      <c r="C18" s="11" t="s">
        <v>207</v>
      </c>
      <c r="D18" s="12" t="str">
        <f t="shared" si="2"/>
        <v>审批局-企业（工程）服务岗（高新）</v>
      </c>
      <c r="E18" s="11" t="str">
        <f>"202408240708"</f>
        <v>202408240708</v>
      </c>
      <c r="F18" s="11">
        <v>7</v>
      </c>
      <c r="G18" s="11">
        <v>8</v>
      </c>
      <c r="H18" s="11">
        <v>35</v>
      </c>
      <c r="I18" s="11">
        <v>12</v>
      </c>
      <c r="J18" s="11">
        <f t="shared" si="3"/>
        <v>47</v>
      </c>
      <c r="K18" s="11">
        <f t="shared" si="1"/>
        <v>15</v>
      </c>
      <c r="L18" s="11" t="s">
        <v>21</v>
      </c>
    </row>
    <row r="19" ht="28" customHeight="1" spans="1:12">
      <c r="A19" s="11">
        <v>17</v>
      </c>
      <c r="B19" s="11" t="str">
        <f>"王圣钦"</f>
        <v>王圣钦</v>
      </c>
      <c r="C19" s="11" t="s">
        <v>208</v>
      </c>
      <c r="D19" s="12" t="str">
        <f t="shared" si="2"/>
        <v>审批局-企业（工程）服务岗（高新）</v>
      </c>
      <c r="E19" s="11" t="str">
        <f>"202408240940"</f>
        <v>202408240940</v>
      </c>
      <c r="F19" s="11">
        <v>9</v>
      </c>
      <c r="G19" s="11">
        <v>40</v>
      </c>
      <c r="H19" s="11">
        <v>37</v>
      </c>
      <c r="I19" s="11">
        <v>10</v>
      </c>
      <c r="J19" s="11">
        <f t="shared" si="3"/>
        <v>47</v>
      </c>
      <c r="K19" s="11">
        <f t="shared" si="1"/>
        <v>15</v>
      </c>
      <c r="L19" s="11" t="s">
        <v>21</v>
      </c>
    </row>
    <row r="20" ht="28" customHeight="1" spans="1:12">
      <c r="A20" s="11">
        <v>18</v>
      </c>
      <c r="B20" s="11" t="str">
        <f>"黄中元"</f>
        <v>黄中元</v>
      </c>
      <c r="C20" s="11" t="s">
        <v>209</v>
      </c>
      <c r="D20" s="12" t="str">
        <f t="shared" si="2"/>
        <v>审批局-企业（工程）服务岗（高新）</v>
      </c>
      <c r="E20" s="11" t="str">
        <f>"202408241429"</f>
        <v>202408241429</v>
      </c>
      <c r="F20" s="11">
        <v>14</v>
      </c>
      <c r="G20" s="11">
        <v>29</v>
      </c>
      <c r="H20" s="11">
        <v>35</v>
      </c>
      <c r="I20" s="11">
        <v>11</v>
      </c>
      <c r="J20" s="11">
        <f t="shared" si="3"/>
        <v>46</v>
      </c>
      <c r="K20" s="11">
        <f t="shared" si="1"/>
        <v>18</v>
      </c>
      <c r="L20" s="11" t="s">
        <v>21</v>
      </c>
    </row>
    <row r="21" ht="28" customHeight="1" spans="1:12">
      <c r="A21" s="11">
        <v>19</v>
      </c>
      <c r="B21" s="11" t="s">
        <v>210</v>
      </c>
      <c r="C21" s="11" t="s">
        <v>211</v>
      </c>
      <c r="D21" s="12" t="str">
        <f t="shared" si="2"/>
        <v>审批局-企业（工程）服务岗（高新）</v>
      </c>
      <c r="E21" s="11" t="s">
        <v>212</v>
      </c>
      <c r="F21" s="11">
        <v>3</v>
      </c>
      <c r="G21" s="11">
        <v>36</v>
      </c>
      <c r="H21" s="11">
        <v>33</v>
      </c>
      <c r="I21" s="11">
        <v>13</v>
      </c>
      <c r="J21" s="11">
        <v>46</v>
      </c>
      <c r="K21" s="11">
        <f t="shared" si="1"/>
        <v>18</v>
      </c>
      <c r="L21" s="11" t="s">
        <v>21</v>
      </c>
    </row>
    <row r="22" ht="28" customHeight="1" spans="1:12">
      <c r="A22" s="11">
        <v>20</v>
      </c>
      <c r="B22" s="11" t="s">
        <v>213</v>
      </c>
      <c r="C22" s="11" t="s">
        <v>214</v>
      </c>
      <c r="D22" s="12" t="str">
        <f t="shared" si="2"/>
        <v>审批局-企业（工程）服务岗（高新）</v>
      </c>
      <c r="E22" s="11" t="s">
        <v>215</v>
      </c>
      <c r="F22" s="11">
        <v>2</v>
      </c>
      <c r="G22" s="11">
        <v>35</v>
      </c>
      <c r="H22" s="11">
        <v>33</v>
      </c>
      <c r="I22" s="11">
        <v>12</v>
      </c>
      <c r="J22" s="11">
        <v>45</v>
      </c>
      <c r="K22" s="11">
        <f t="shared" si="1"/>
        <v>20</v>
      </c>
      <c r="L22" s="11" t="s">
        <v>21</v>
      </c>
    </row>
    <row r="23" ht="28" customHeight="1" spans="1:12">
      <c r="A23" s="11">
        <v>21</v>
      </c>
      <c r="B23" s="11" t="str">
        <f>"谌浩"</f>
        <v>谌浩</v>
      </c>
      <c r="C23" s="11" t="s">
        <v>216</v>
      </c>
      <c r="D23" s="12" t="str">
        <f t="shared" si="2"/>
        <v>审批局-企业（工程）服务岗（高新）</v>
      </c>
      <c r="E23" s="11" t="str">
        <f>"202408240602"</f>
        <v>202408240602</v>
      </c>
      <c r="F23" s="11">
        <v>6</v>
      </c>
      <c r="G23" s="11">
        <v>2</v>
      </c>
      <c r="H23" s="11">
        <v>32</v>
      </c>
      <c r="I23" s="11">
        <v>12</v>
      </c>
      <c r="J23" s="11">
        <f>H23+I23</f>
        <v>44</v>
      </c>
      <c r="K23" s="11">
        <f t="shared" si="1"/>
        <v>21</v>
      </c>
      <c r="L23" s="11" t="s">
        <v>21</v>
      </c>
    </row>
    <row r="24" ht="28" customHeight="1" spans="1:12">
      <c r="A24" s="11">
        <v>22</v>
      </c>
      <c r="B24" s="11" t="s">
        <v>217</v>
      </c>
      <c r="C24" s="11" t="s">
        <v>218</v>
      </c>
      <c r="D24" s="12" t="str">
        <f t="shared" si="2"/>
        <v>审批局-企业（工程）服务岗（高新）</v>
      </c>
      <c r="E24" s="11" t="s">
        <v>219</v>
      </c>
      <c r="F24" s="11">
        <v>2</v>
      </c>
      <c r="G24" s="11">
        <v>32</v>
      </c>
      <c r="H24" s="11">
        <v>27</v>
      </c>
      <c r="I24" s="11">
        <v>10</v>
      </c>
      <c r="J24" s="11">
        <v>37</v>
      </c>
      <c r="K24" s="11">
        <f t="shared" si="1"/>
        <v>22</v>
      </c>
      <c r="L24" s="11" t="s">
        <v>21</v>
      </c>
    </row>
    <row r="25" ht="28" customHeight="1" spans="1:12">
      <c r="A25" s="11">
        <v>23</v>
      </c>
      <c r="B25" s="11" t="str">
        <f>"梁文雯"</f>
        <v>梁文雯</v>
      </c>
      <c r="C25" s="11" t="s">
        <v>220</v>
      </c>
      <c r="D25" s="12" t="str">
        <f t="shared" si="2"/>
        <v>审批局-企业（工程）服务岗（高新）</v>
      </c>
      <c r="E25" s="11" t="str">
        <f>"202408240411"</f>
        <v>202408240411</v>
      </c>
      <c r="F25" s="11">
        <v>4</v>
      </c>
      <c r="G25" s="11">
        <v>11</v>
      </c>
      <c r="H25" s="11">
        <v>0</v>
      </c>
      <c r="I25" s="11">
        <v>0</v>
      </c>
      <c r="J25" s="7" t="s">
        <v>20</v>
      </c>
      <c r="K25" s="7"/>
      <c r="L25" s="11" t="s">
        <v>21</v>
      </c>
    </row>
    <row r="26" ht="28" customHeight="1" spans="1:12">
      <c r="A26" s="11">
        <v>24</v>
      </c>
      <c r="B26" s="11" t="str">
        <f>"陈策"</f>
        <v>陈策</v>
      </c>
      <c r="C26" s="11" t="s">
        <v>221</v>
      </c>
      <c r="D26" s="12" t="str">
        <f t="shared" si="2"/>
        <v>审批局-企业（工程）服务岗（高新）</v>
      </c>
      <c r="E26" s="11" t="str">
        <f>"202408240415"</f>
        <v>202408240415</v>
      </c>
      <c r="F26" s="11">
        <v>4</v>
      </c>
      <c r="G26" s="11">
        <v>15</v>
      </c>
      <c r="H26" s="11">
        <v>0</v>
      </c>
      <c r="I26" s="11">
        <v>0</v>
      </c>
      <c r="J26" s="7" t="s">
        <v>20</v>
      </c>
      <c r="K26" s="7"/>
      <c r="L26" s="11" t="s">
        <v>21</v>
      </c>
    </row>
    <row r="27" ht="28" customHeight="1" spans="1:12">
      <c r="A27" s="11">
        <v>25</v>
      </c>
      <c r="B27" s="11" t="str">
        <f>"唐登海"</f>
        <v>唐登海</v>
      </c>
      <c r="C27" s="11" t="s">
        <v>222</v>
      </c>
      <c r="D27" s="12" t="str">
        <f t="shared" si="2"/>
        <v>审批局-企业（工程）服务岗（高新）</v>
      </c>
      <c r="E27" s="11" t="str">
        <f>"202408240418"</f>
        <v>202408240418</v>
      </c>
      <c r="F27" s="11">
        <v>4</v>
      </c>
      <c r="G27" s="11">
        <v>18</v>
      </c>
      <c r="H27" s="11">
        <v>0</v>
      </c>
      <c r="I27" s="11">
        <v>0</v>
      </c>
      <c r="J27" s="7" t="s">
        <v>20</v>
      </c>
      <c r="K27" s="7"/>
      <c r="L27" s="11" t="s">
        <v>21</v>
      </c>
    </row>
    <row r="28" ht="28" customHeight="1" spans="1:12">
      <c r="A28" s="11">
        <v>26</v>
      </c>
      <c r="B28" s="11" t="str">
        <f>"王俊"</f>
        <v>王俊</v>
      </c>
      <c r="C28" s="11" t="s">
        <v>223</v>
      </c>
      <c r="D28" s="12" t="str">
        <f t="shared" si="2"/>
        <v>审批局-企业（工程）服务岗（高新）</v>
      </c>
      <c r="E28" s="11" t="str">
        <f>"202408240437"</f>
        <v>202408240437</v>
      </c>
      <c r="F28" s="11">
        <v>4</v>
      </c>
      <c r="G28" s="11">
        <v>37</v>
      </c>
      <c r="H28" s="11">
        <v>0</v>
      </c>
      <c r="I28" s="11">
        <v>0</v>
      </c>
      <c r="J28" s="7" t="s">
        <v>20</v>
      </c>
      <c r="K28" s="7"/>
      <c r="L28" s="11" t="s">
        <v>21</v>
      </c>
    </row>
    <row r="29" ht="28" customHeight="1" spans="1:12">
      <c r="A29" s="11">
        <v>27</v>
      </c>
      <c r="B29" s="11" t="str">
        <f>"张鸿发"</f>
        <v>张鸿发</v>
      </c>
      <c r="C29" s="11" t="s">
        <v>224</v>
      </c>
      <c r="D29" s="12" t="str">
        <f t="shared" si="2"/>
        <v>审批局-企业（工程）服务岗（高新）</v>
      </c>
      <c r="E29" s="11" t="str">
        <f>"202408240440"</f>
        <v>202408240440</v>
      </c>
      <c r="F29" s="11">
        <v>4</v>
      </c>
      <c r="G29" s="11">
        <v>40</v>
      </c>
      <c r="H29" s="11">
        <v>0</v>
      </c>
      <c r="I29" s="11">
        <v>0</v>
      </c>
      <c r="J29" s="7" t="s">
        <v>20</v>
      </c>
      <c r="K29" s="7"/>
      <c r="L29" s="11" t="s">
        <v>21</v>
      </c>
    </row>
    <row r="30" ht="28" customHeight="1" spans="1:12">
      <c r="A30" s="11">
        <v>28</v>
      </c>
      <c r="B30" s="11" t="str">
        <f>"何苗"</f>
        <v>何苗</v>
      </c>
      <c r="C30" s="11" t="s">
        <v>225</v>
      </c>
      <c r="D30" s="12" t="str">
        <f t="shared" si="2"/>
        <v>审批局-企业（工程）服务岗（高新）</v>
      </c>
      <c r="E30" s="11" t="str">
        <f>"202408240513"</f>
        <v>202408240513</v>
      </c>
      <c r="F30" s="11">
        <v>5</v>
      </c>
      <c r="G30" s="11">
        <v>13</v>
      </c>
      <c r="H30" s="11">
        <v>0</v>
      </c>
      <c r="I30" s="11">
        <v>0</v>
      </c>
      <c r="J30" s="7" t="s">
        <v>20</v>
      </c>
      <c r="K30" s="7"/>
      <c r="L30" s="11" t="s">
        <v>21</v>
      </c>
    </row>
    <row r="31" ht="28" customHeight="1" spans="1:12">
      <c r="A31" s="11">
        <v>29</v>
      </c>
      <c r="B31" s="11" t="str">
        <f>"陈志勇"</f>
        <v>陈志勇</v>
      </c>
      <c r="C31" s="11" t="s">
        <v>226</v>
      </c>
      <c r="D31" s="12" t="str">
        <f t="shared" si="2"/>
        <v>审批局-企业（工程）服务岗（高新）</v>
      </c>
      <c r="E31" s="11" t="str">
        <f>"202408240519"</f>
        <v>202408240519</v>
      </c>
      <c r="F31" s="11">
        <v>5</v>
      </c>
      <c r="G31" s="11">
        <v>19</v>
      </c>
      <c r="H31" s="11">
        <v>0</v>
      </c>
      <c r="I31" s="11">
        <v>0</v>
      </c>
      <c r="J31" s="7" t="s">
        <v>20</v>
      </c>
      <c r="K31" s="7"/>
      <c r="L31" s="11" t="s">
        <v>21</v>
      </c>
    </row>
    <row r="32" ht="28" customHeight="1" spans="1:12">
      <c r="A32" s="11">
        <v>30</v>
      </c>
      <c r="B32" s="11" t="str">
        <f>"蒲龙波"</f>
        <v>蒲龙波</v>
      </c>
      <c r="C32" s="11" t="s">
        <v>227</v>
      </c>
      <c r="D32" s="12" t="str">
        <f t="shared" si="2"/>
        <v>审批局-企业（工程）服务岗（高新）</v>
      </c>
      <c r="E32" s="11" t="str">
        <f>"202408240535"</f>
        <v>202408240535</v>
      </c>
      <c r="F32" s="11">
        <v>5</v>
      </c>
      <c r="G32" s="11">
        <v>35</v>
      </c>
      <c r="H32" s="11">
        <v>0</v>
      </c>
      <c r="I32" s="11">
        <v>0</v>
      </c>
      <c r="J32" s="7" t="s">
        <v>20</v>
      </c>
      <c r="K32" s="7"/>
      <c r="L32" s="11" t="s">
        <v>21</v>
      </c>
    </row>
    <row r="33" ht="28" customHeight="1" spans="1:12">
      <c r="A33" s="11">
        <v>31</v>
      </c>
      <c r="B33" s="11" t="str">
        <f>"郝然"</f>
        <v>郝然</v>
      </c>
      <c r="C33" s="11" t="s">
        <v>228</v>
      </c>
      <c r="D33" s="12" t="str">
        <f t="shared" si="2"/>
        <v>审批局-企业（工程）服务岗（高新）</v>
      </c>
      <c r="E33" s="11" t="str">
        <f>"202408240607"</f>
        <v>202408240607</v>
      </c>
      <c r="F33" s="11">
        <v>6</v>
      </c>
      <c r="G33" s="11">
        <v>7</v>
      </c>
      <c r="H33" s="11">
        <v>0</v>
      </c>
      <c r="I33" s="11">
        <v>0</v>
      </c>
      <c r="J33" s="7" t="s">
        <v>20</v>
      </c>
      <c r="K33" s="7"/>
      <c r="L33" s="11" t="s">
        <v>21</v>
      </c>
    </row>
    <row r="34" ht="28" customHeight="1" spans="1:12">
      <c r="A34" s="11">
        <v>32</v>
      </c>
      <c r="B34" s="11" t="str">
        <f>"刘智臻"</f>
        <v>刘智臻</v>
      </c>
      <c r="C34" s="11" t="s">
        <v>229</v>
      </c>
      <c r="D34" s="12" t="str">
        <f t="shared" si="2"/>
        <v>审批局-企业（工程）服务岗（高新）</v>
      </c>
      <c r="E34" s="11" t="str">
        <f>"202408240611"</f>
        <v>202408240611</v>
      </c>
      <c r="F34" s="11">
        <v>6</v>
      </c>
      <c r="G34" s="11">
        <v>11</v>
      </c>
      <c r="H34" s="11">
        <v>0</v>
      </c>
      <c r="I34" s="11">
        <v>0</v>
      </c>
      <c r="J34" s="7" t="s">
        <v>20</v>
      </c>
      <c r="K34" s="7"/>
      <c r="L34" s="11" t="s">
        <v>21</v>
      </c>
    </row>
    <row r="35" ht="28" customHeight="1" spans="1:12">
      <c r="A35" s="11">
        <v>33</v>
      </c>
      <c r="B35" s="11" t="str">
        <f>"齐开轩"</f>
        <v>齐开轩</v>
      </c>
      <c r="C35" s="11" t="s">
        <v>230</v>
      </c>
      <c r="D35" s="12" t="str">
        <f t="shared" si="2"/>
        <v>审批局-企业（工程）服务岗（高新）</v>
      </c>
      <c r="E35" s="11" t="str">
        <f>"202408240612"</f>
        <v>202408240612</v>
      </c>
      <c r="F35" s="11">
        <v>6</v>
      </c>
      <c r="G35" s="11">
        <v>12</v>
      </c>
      <c r="H35" s="11">
        <v>0</v>
      </c>
      <c r="I35" s="11">
        <v>0</v>
      </c>
      <c r="J35" s="7" t="s">
        <v>20</v>
      </c>
      <c r="K35" s="7"/>
      <c r="L35" s="11" t="s">
        <v>21</v>
      </c>
    </row>
    <row r="36" ht="28" customHeight="1" spans="1:12">
      <c r="A36" s="11">
        <v>34</v>
      </c>
      <c r="B36" s="11" t="str">
        <f>"苟小燕"</f>
        <v>苟小燕</v>
      </c>
      <c r="C36" s="11" t="s">
        <v>154</v>
      </c>
      <c r="D36" s="12" t="str">
        <f t="shared" si="2"/>
        <v>审批局-企业（工程）服务岗（高新）</v>
      </c>
      <c r="E36" s="11" t="str">
        <f>"202408240633"</f>
        <v>202408240633</v>
      </c>
      <c r="F36" s="11">
        <v>6</v>
      </c>
      <c r="G36" s="11">
        <v>33</v>
      </c>
      <c r="H36" s="11">
        <v>0</v>
      </c>
      <c r="I36" s="11">
        <v>0</v>
      </c>
      <c r="J36" s="7" t="s">
        <v>20</v>
      </c>
      <c r="K36" s="7"/>
      <c r="L36" s="11" t="s">
        <v>21</v>
      </c>
    </row>
    <row r="37" ht="28" customHeight="1" spans="1:12">
      <c r="A37" s="11">
        <v>35</v>
      </c>
      <c r="B37" s="11" t="str">
        <f>"唐凤"</f>
        <v>唐凤</v>
      </c>
      <c r="C37" s="11" t="s">
        <v>231</v>
      </c>
      <c r="D37" s="12" t="str">
        <f t="shared" si="2"/>
        <v>审批局-企业（工程）服务岗（高新）</v>
      </c>
      <c r="E37" s="11" t="str">
        <f>"202408240701"</f>
        <v>202408240701</v>
      </c>
      <c r="F37" s="11">
        <v>7</v>
      </c>
      <c r="G37" s="11">
        <v>1</v>
      </c>
      <c r="H37" s="11">
        <v>0</v>
      </c>
      <c r="I37" s="11">
        <v>0</v>
      </c>
      <c r="J37" s="7" t="s">
        <v>20</v>
      </c>
      <c r="K37" s="7"/>
      <c r="L37" s="11" t="s">
        <v>21</v>
      </c>
    </row>
    <row r="38" ht="28" customHeight="1" spans="1:12">
      <c r="A38" s="11">
        <v>36</v>
      </c>
      <c r="B38" s="11" t="str">
        <f>"牟自立"</f>
        <v>牟自立</v>
      </c>
      <c r="C38" s="11" t="s">
        <v>232</v>
      </c>
      <c r="D38" s="12" t="str">
        <f t="shared" si="2"/>
        <v>审批局-企业（工程）服务岗（高新）</v>
      </c>
      <c r="E38" s="11" t="str">
        <f>"202408240727"</f>
        <v>202408240727</v>
      </c>
      <c r="F38" s="11">
        <v>7</v>
      </c>
      <c r="G38" s="11">
        <v>27</v>
      </c>
      <c r="H38" s="11">
        <v>0</v>
      </c>
      <c r="I38" s="11">
        <v>0</v>
      </c>
      <c r="J38" s="7" t="s">
        <v>20</v>
      </c>
      <c r="K38" s="7"/>
      <c r="L38" s="11" t="s">
        <v>21</v>
      </c>
    </row>
    <row r="39" ht="28" customHeight="1" spans="1:12">
      <c r="A39" s="11">
        <v>37</v>
      </c>
      <c r="B39" s="11" t="str">
        <f>"张小琴"</f>
        <v>张小琴</v>
      </c>
      <c r="C39" s="11" t="s">
        <v>233</v>
      </c>
      <c r="D39" s="12" t="str">
        <f t="shared" si="2"/>
        <v>审批局-企业（工程）服务岗（高新）</v>
      </c>
      <c r="E39" s="11" t="str">
        <f>"202408240729"</f>
        <v>202408240729</v>
      </c>
      <c r="F39" s="11">
        <v>7</v>
      </c>
      <c r="G39" s="11">
        <v>29</v>
      </c>
      <c r="H39" s="11">
        <v>0</v>
      </c>
      <c r="I39" s="11">
        <v>0</v>
      </c>
      <c r="J39" s="7" t="s">
        <v>20</v>
      </c>
      <c r="K39" s="7"/>
      <c r="L39" s="11" t="s">
        <v>21</v>
      </c>
    </row>
    <row r="40" ht="28" customHeight="1" spans="1:12">
      <c r="A40" s="11">
        <v>38</v>
      </c>
      <c r="B40" s="11" t="str">
        <f>"肖聪"</f>
        <v>肖聪</v>
      </c>
      <c r="C40" s="11" t="s">
        <v>234</v>
      </c>
      <c r="D40" s="12" t="str">
        <f t="shared" si="2"/>
        <v>审批局-企业（工程）服务岗（高新）</v>
      </c>
      <c r="E40" s="11" t="str">
        <f>"202408240740"</f>
        <v>202408240740</v>
      </c>
      <c r="F40" s="11">
        <v>7</v>
      </c>
      <c r="G40" s="11">
        <v>40</v>
      </c>
      <c r="H40" s="11">
        <v>0</v>
      </c>
      <c r="I40" s="11">
        <v>0</v>
      </c>
      <c r="J40" s="7" t="s">
        <v>20</v>
      </c>
      <c r="K40" s="7"/>
      <c r="L40" s="11" t="s">
        <v>21</v>
      </c>
    </row>
    <row r="41" ht="28" customHeight="1" spans="1:12">
      <c r="A41" s="11">
        <v>39</v>
      </c>
      <c r="B41" s="11" t="str">
        <f>"郑春"</f>
        <v>郑春</v>
      </c>
      <c r="C41" s="11" t="s">
        <v>235</v>
      </c>
      <c r="D41" s="12" t="str">
        <f t="shared" si="2"/>
        <v>审批局-企业（工程）服务岗（高新）</v>
      </c>
      <c r="E41" s="11" t="str">
        <f>"202408240816"</f>
        <v>202408240816</v>
      </c>
      <c r="F41" s="11">
        <v>8</v>
      </c>
      <c r="G41" s="11">
        <v>16</v>
      </c>
      <c r="H41" s="11">
        <v>0</v>
      </c>
      <c r="I41" s="11">
        <v>0</v>
      </c>
      <c r="J41" s="7" t="s">
        <v>20</v>
      </c>
      <c r="K41" s="7"/>
      <c r="L41" s="11" t="s">
        <v>21</v>
      </c>
    </row>
    <row r="42" ht="28" customHeight="1" spans="1:12">
      <c r="A42" s="11">
        <v>40</v>
      </c>
      <c r="B42" s="11" t="str">
        <f>"李含"</f>
        <v>李含</v>
      </c>
      <c r="C42" s="11" t="s">
        <v>236</v>
      </c>
      <c r="D42" s="12" t="str">
        <f t="shared" si="2"/>
        <v>审批局-企业（工程）服务岗（高新）</v>
      </c>
      <c r="E42" s="11" t="str">
        <f>"202408240819"</f>
        <v>202408240819</v>
      </c>
      <c r="F42" s="11">
        <v>8</v>
      </c>
      <c r="G42" s="11">
        <v>19</v>
      </c>
      <c r="H42" s="11">
        <v>0</v>
      </c>
      <c r="I42" s="11">
        <v>0</v>
      </c>
      <c r="J42" s="7" t="s">
        <v>20</v>
      </c>
      <c r="K42" s="7"/>
      <c r="L42" s="11" t="s">
        <v>21</v>
      </c>
    </row>
    <row r="43" ht="28" customHeight="1" spans="1:12">
      <c r="A43" s="11">
        <v>41</v>
      </c>
      <c r="B43" s="11" t="str">
        <f>"林洪"</f>
        <v>林洪</v>
      </c>
      <c r="C43" s="11" t="s">
        <v>237</v>
      </c>
      <c r="D43" s="12" t="str">
        <f t="shared" si="2"/>
        <v>审批局-企业（工程）服务岗（高新）</v>
      </c>
      <c r="E43" s="11" t="str">
        <f>"202408240820"</f>
        <v>202408240820</v>
      </c>
      <c r="F43" s="11">
        <v>8</v>
      </c>
      <c r="G43" s="11">
        <v>20</v>
      </c>
      <c r="H43" s="11">
        <v>0</v>
      </c>
      <c r="I43" s="11">
        <v>0</v>
      </c>
      <c r="J43" s="7" t="s">
        <v>20</v>
      </c>
      <c r="K43" s="7"/>
      <c r="L43" s="11" t="s">
        <v>21</v>
      </c>
    </row>
    <row r="44" ht="28" customHeight="1" spans="1:12">
      <c r="A44" s="11">
        <v>42</v>
      </c>
      <c r="B44" s="11" t="str">
        <f>"刘代靖"</f>
        <v>刘代靖</v>
      </c>
      <c r="C44" s="11" t="s">
        <v>238</v>
      </c>
      <c r="D44" s="12" t="str">
        <f t="shared" si="2"/>
        <v>审批局-企业（工程）服务岗（高新）</v>
      </c>
      <c r="E44" s="11" t="str">
        <f>"202408240822"</f>
        <v>202408240822</v>
      </c>
      <c r="F44" s="11">
        <v>8</v>
      </c>
      <c r="G44" s="11">
        <v>22</v>
      </c>
      <c r="H44" s="11">
        <v>0</v>
      </c>
      <c r="I44" s="11">
        <v>0</v>
      </c>
      <c r="J44" s="7" t="s">
        <v>20</v>
      </c>
      <c r="K44" s="7"/>
      <c r="L44" s="11" t="s">
        <v>21</v>
      </c>
    </row>
    <row r="45" ht="28" customHeight="1" spans="1:12">
      <c r="A45" s="11">
        <v>43</v>
      </c>
      <c r="B45" s="11" t="str">
        <f>"李鑫"</f>
        <v>李鑫</v>
      </c>
      <c r="C45" s="11" t="s">
        <v>239</v>
      </c>
      <c r="D45" s="12" t="str">
        <f t="shared" si="2"/>
        <v>审批局-企业（工程）服务岗（高新）</v>
      </c>
      <c r="E45" s="11" t="str">
        <f>"202408240833"</f>
        <v>202408240833</v>
      </c>
      <c r="F45" s="11">
        <v>8</v>
      </c>
      <c r="G45" s="11">
        <v>33</v>
      </c>
      <c r="H45" s="11">
        <v>0</v>
      </c>
      <c r="I45" s="11">
        <v>0</v>
      </c>
      <c r="J45" s="7" t="s">
        <v>20</v>
      </c>
      <c r="K45" s="7"/>
      <c r="L45" s="11" t="s">
        <v>21</v>
      </c>
    </row>
    <row r="46" ht="28" customHeight="1" spans="1:12">
      <c r="A46" s="11">
        <v>44</v>
      </c>
      <c r="B46" s="11" t="str">
        <f>"刘熙"</f>
        <v>刘熙</v>
      </c>
      <c r="C46" s="11" t="s">
        <v>240</v>
      </c>
      <c r="D46" s="12" t="str">
        <f t="shared" si="2"/>
        <v>审批局-企业（工程）服务岗（高新）</v>
      </c>
      <c r="E46" s="11" t="str">
        <f>"202408240839"</f>
        <v>202408240839</v>
      </c>
      <c r="F46" s="11">
        <v>8</v>
      </c>
      <c r="G46" s="11">
        <v>39</v>
      </c>
      <c r="H46" s="11">
        <v>0</v>
      </c>
      <c r="I46" s="11">
        <v>0</v>
      </c>
      <c r="J46" s="7" t="s">
        <v>20</v>
      </c>
      <c r="K46" s="7"/>
      <c r="L46" s="11" t="s">
        <v>21</v>
      </c>
    </row>
    <row r="47" ht="28" customHeight="1" spans="1:12">
      <c r="A47" s="11">
        <v>45</v>
      </c>
      <c r="B47" s="11" t="str">
        <f>"夏秋菊"</f>
        <v>夏秋菊</v>
      </c>
      <c r="C47" s="11" t="s">
        <v>241</v>
      </c>
      <c r="D47" s="12" t="str">
        <f t="shared" si="2"/>
        <v>审批局-企业（工程）服务岗（高新）</v>
      </c>
      <c r="E47" s="11" t="str">
        <f>"202408240904"</f>
        <v>202408240904</v>
      </c>
      <c r="F47" s="11">
        <v>9</v>
      </c>
      <c r="G47" s="11">
        <v>4</v>
      </c>
      <c r="H47" s="11">
        <v>0</v>
      </c>
      <c r="I47" s="11">
        <v>0</v>
      </c>
      <c r="J47" s="7" t="s">
        <v>20</v>
      </c>
      <c r="K47" s="7"/>
      <c r="L47" s="11" t="s">
        <v>21</v>
      </c>
    </row>
    <row r="48" ht="28" customHeight="1" spans="1:12">
      <c r="A48" s="11">
        <v>46</v>
      </c>
      <c r="B48" s="11" t="str">
        <f>"舒国根"</f>
        <v>舒国根</v>
      </c>
      <c r="C48" s="11" t="s">
        <v>242</v>
      </c>
      <c r="D48" s="12" t="str">
        <f t="shared" si="2"/>
        <v>审批局-企业（工程）服务岗（高新）</v>
      </c>
      <c r="E48" s="11" t="str">
        <f>"202408240918"</f>
        <v>202408240918</v>
      </c>
      <c r="F48" s="11">
        <v>9</v>
      </c>
      <c r="G48" s="11">
        <v>18</v>
      </c>
      <c r="H48" s="11">
        <v>0</v>
      </c>
      <c r="I48" s="11">
        <v>0</v>
      </c>
      <c r="J48" s="7" t="s">
        <v>20</v>
      </c>
      <c r="K48" s="7"/>
      <c r="L48" s="11" t="s">
        <v>21</v>
      </c>
    </row>
    <row r="49" ht="28" customHeight="1" spans="1:12">
      <c r="A49" s="11">
        <v>47</v>
      </c>
      <c r="B49" s="11" t="str">
        <f>"杨月建"</f>
        <v>杨月建</v>
      </c>
      <c r="C49" s="11" t="s">
        <v>243</v>
      </c>
      <c r="D49" s="12" t="str">
        <f t="shared" si="2"/>
        <v>审批局-企业（工程）服务岗（高新）</v>
      </c>
      <c r="E49" s="11" t="str">
        <f>"202408240926"</f>
        <v>202408240926</v>
      </c>
      <c r="F49" s="11">
        <v>9</v>
      </c>
      <c r="G49" s="11">
        <v>26</v>
      </c>
      <c r="H49" s="11">
        <v>0</v>
      </c>
      <c r="I49" s="11">
        <v>0</v>
      </c>
      <c r="J49" s="7" t="s">
        <v>20</v>
      </c>
      <c r="K49" s="7"/>
      <c r="L49" s="11" t="s">
        <v>21</v>
      </c>
    </row>
    <row r="50" ht="28" customHeight="1" spans="1:12">
      <c r="A50" s="11">
        <v>48</v>
      </c>
      <c r="B50" s="11" t="str">
        <f>"董博"</f>
        <v>董博</v>
      </c>
      <c r="C50" s="11" t="s">
        <v>244</v>
      </c>
      <c r="D50" s="12" t="str">
        <f t="shared" si="2"/>
        <v>审批局-企业（工程）服务岗（高新）</v>
      </c>
      <c r="E50" s="11" t="str">
        <f>"202408240933"</f>
        <v>202408240933</v>
      </c>
      <c r="F50" s="11">
        <v>9</v>
      </c>
      <c r="G50" s="11">
        <v>33</v>
      </c>
      <c r="H50" s="11">
        <v>0</v>
      </c>
      <c r="I50" s="11">
        <v>0</v>
      </c>
      <c r="J50" s="7" t="s">
        <v>20</v>
      </c>
      <c r="K50" s="7"/>
      <c r="L50" s="11" t="s">
        <v>21</v>
      </c>
    </row>
    <row r="51" s="13" customFormat="1" ht="28" customHeight="1" spans="1:12">
      <c r="A51" s="11">
        <v>49</v>
      </c>
      <c r="B51" s="11" t="str">
        <f>"李龙"</f>
        <v>李龙</v>
      </c>
      <c r="C51" s="11" t="s">
        <v>245</v>
      </c>
      <c r="D51" s="12" t="str">
        <f t="shared" si="2"/>
        <v>审批局-企业（工程）服务岗（高新）</v>
      </c>
      <c r="E51" s="11" t="str">
        <f>"202408241414"</f>
        <v>202408241414</v>
      </c>
      <c r="F51" s="11">
        <v>14</v>
      </c>
      <c r="G51" s="11">
        <v>14</v>
      </c>
      <c r="H51" s="11">
        <v>0</v>
      </c>
      <c r="I51" s="11">
        <v>0</v>
      </c>
      <c r="J51" s="7" t="s">
        <v>20</v>
      </c>
      <c r="K51" s="7"/>
      <c r="L51" s="11" t="s">
        <v>21</v>
      </c>
    </row>
    <row r="52" ht="28" customHeight="1" spans="1:12">
      <c r="A52" s="11">
        <v>50</v>
      </c>
      <c r="B52" s="11" t="str">
        <f>"方青松"</f>
        <v>方青松</v>
      </c>
      <c r="C52" s="11" t="s">
        <v>246</v>
      </c>
      <c r="D52" s="12" t="str">
        <f t="shared" si="2"/>
        <v>审批局-企业（工程）服务岗（高新）</v>
      </c>
      <c r="E52" s="11" t="str">
        <f>"202408241416"</f>
        <v>202408241416</v>
      </c>
      <c r="F52" s="11">
        <v>14</v>
      </c>
      <c r="G52" s="11">
        <v>16</v>
      </c>
      <c r="H52" s="11">
        <v>0</v>
      </c>
      <c r="I52" s="11">
        <v>0</v>
      </c>
      <c r="J52" s="7" t="s">
        <v>20</v>
      </c>
      <c r="K52" s="7"/>
      <c r="L52" s="11" t="s">
        <v>21</v>
      </c>
    </row>
    <row r="53" ht="28" customHeight="1" spans="1:12">
      <c r="A53" s="11">
        <v>51</v>
      </c>
      <c r="B53" s="11" t="str">
        <f>"陈宣如"</f>
        <v>陈宣如</v>
      </c>
      <c r="C53" s="11" t="s">
        <v>247</v>
      </c>
      <c r="D53" s="12" t="str">
        <f t="shared" si="2"/>
        <v>审批局-企业（工程）服务岗（高新）</v>
      </c>
      <c r="E53" s="11" t="str">
        <f>"202408241418"</f>
        <v>202408241418</v>
      </c>
      <c r="F53" s="11">
        <v>14</v>
      </c>
      <c r="G53" s="11">
        <v>18</v>
      </c>
      <c r="H53" s="11">
        <v>0</v>
      </c>
      <c r="I53" s="11">
        <v>0</v>
      </c>
      <c r="J53" s="7" t="s">
        <v>20</v>
      </c>
      <c r="K53" s="7"/>
      <c r="L53" s="11" t="s">
        <v>21</v>
      </c>
    </row>
    <row r="54" ht="28" customHeight="1" spans="1:12">
      <c r="A54" s="11">
        <v>52</v>
      </c>
      <c r="B54" s="11" t="str">
        <f>"赖旭皓"</f>
        <v>赖旭皓</v>
      </c>
      <c r="C54" s="11" t="s">
        <v>248</v>
      </c>
      <c r="D54" s="12" t="str">
        <f t="shared" si="2"/>
        <v>审批局-企业（工程）服务岗（高新）</v>
      </c>
      <c r="E54" s="11" t="str">
        <f>"202408241427"</f>
        <v>202408241427</v>
      </c>
      <c r="F54" s="11">
        <v>14</v>
      </c>
      <c r="G54" s="11">
        <v>27</v>
      </c>
      <c r="H54" s="11">
        <v>0</v>
      </c>
      <c r="I54" s="11">
        <v>0</v>
      </c>
      <c r="J54" s="7" t="s">
        <v>20</v>
      </c>
      <c r="K54" s="7"/>
      <c r="L54" s="11" t="s">
        <v>21</v>
      </c>
    </row>
    <row r="55" s="13" customFormat="1" ht="28" customHeight="1" spans="1:12">
      <c r="A55" s="11">
        <v>53</v>
      </c>
      <c r="B55" s="11" t="str">
        <f>"杜静科"</f>
        <v>杜静科</v>
      </c>
      <c r="C55" s="11" t="s">
        <v>249</v>
      </c>
      <c r="D55" s="12" t="str">
        <f t="shared" si="2"/>
        <v>审批局-企业（工程）服务岗（高新）</v>
      </c>
      <c r="E55" s="11" t="str">
        <f>"202408240210"</f>
        <v>202408240210</v>
      </c>
      <c r="F55" s="11">
        <v>2</v>
      </c>
      <c r="G55" s="11">
        <v>10</v>
      </c>
      <c r="H55" s="11">
        <v>0</v>
      </c>
      <c r="I55" s="11">
        <v>0</v>
      </c>
      <c r="J55" s="7" t="s">
        <v>20</v>
      </c>
      <c r="K55" s="7"/>
      <c r="L55" s="11" t="s">
        <v>21</v>
      </c>
    </row>
  </sheetData>
  <sortState ref="A2:N54">
    <sortCondition ref="J2" descending="1"/>
  </sortState>
  <mergeCells count="1">
    <mergeCell ref="A1:L1"/>
  </mergeCells>
  <pageMargins left="0" right="0" top="0.751388888888889" bottom="0.751388888888889" header="0.298611111111111" footer="0.298611111111111"/>
  <pageSetup paperSize="9" scale="8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0"/>
  <sheetViews>
    <sheetView workbookViewId="0">
      <selection activeCell="D2" sqref="D$1:D$1048576"/>
    </sheetView>
  </sheetViews>
  <sheetFormatPr defaultColWidth="9" defaultRowHeight="14.25"/>
  <cols>
    <col min="1" max="1" width="4.44166666666667" style="1" customWidth="1"/>
    <col min="2" max="2" width="7.33333333333333" style="1" customWidth="1"/>
    <col min="3" max="3" width="19.7333333333333" style="1" customWidth="1"/>
    <col min="4" max="4" width="28.775" style="3" customWidth="1"/>
    <col min="5" max="5" width="14.6666666666667" style="1" customWidth="1"/>
    <col min="6" max="9" width="9" style="1" hidden="1" customWidth="1"/>
    <col min="10" max="10" width="8.625" style="1" customWidth="1"/>
    <col min="11" max="11" width="6.89166666666667" style="1" customWidth="1"/>
    <col min="12" max="12" width="17.1083333333333" style="1" customWidth="1"/>
    <col min="13" max="16384" width="9" style="1"/>
  </cols>
  <sheetData>
    <row r="1" s="1" customFormat="1" ht="99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32" customHeight="1" spans="1:1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9" t="s">
        <v>10</v>
      </c>
      <c r="K2" s="5" t="s">
        <v>11</v>
      </c>
      <c r="L2" s="9" t="s">
        <v>12</v>
      </c>
    </row>
    <row r="3" ht="27" customHeight="1" spans="1:12">
      <c r="A3" s="11">
        <v>1</v>
      </c>
      <c r="B3" s="11" t="str">
        <f>"张倩"</f>
        <v>张倩</v>
      </c>
      <c r="C3" s="11" t="s">
        <v>250</v>
      </c>
      <c r="D3" s="12" t="str">
        <f t="shared" ref="D3:D43" si="0">"审批局-企业（经济）服务岗（高新）"</f>
        <v>审批局-企业（经济）服务岗（高新）</v>
      </c>
      <c r="E3" s="11" t="str">
        <f>"202408240703"</f>
        <v>202408240703</v>
      </c>
      <c r="F3" s="11">
        <v>7</v>
      </c>
      <c r="G3" s="11">
        <v>3</v>
      </c>
      <c r="H3" s="11">
        <v>46</v>
      </c>
      <c r="I3" s="11">
        <v>26</v>
      </c>
      <c r="J3" s="11">
        <f>H3+I3</f>
        <v>72</v>
      </c>
      <c r="K3" s="11">
        <f>RANK(J3,J:J,0)</f>
        <v>1</v>
      </c>
      <c r="L3" s="11" t="s">
        <v>14</v>
      </c>
    </row>
    <row r="4" ht="27" customHeight="1" spans="1:12">
      <c r="A4" s="11">
        <v>2</v>
      </c>
      <c r="B4" s="11" t="str">
        <f>"郑圆圆"</f>
        <v>郑圆圆</v>
      </c>
      <c r="C4" s="11" t="s">
        <v>251</v>
      </c>
      <c r="D4" s="12" t="str">
        <f t="shared" si="0"/>
        <v>审批局-企业（经济）服务岗（高新）</v>
      </c>
      <c r="E4" s="11" t="str">
        <f>"202408240901"</f>
        <v>202408240901</v>
      </c>
      <c r="F4" s="11">
        <v>9</v>
      </c>
      <c r="G4" s="11">
        <v>1</v>
      </c>
      <c r="H4" s="11">
        <v>44</v>
      </c>
      <c r="I4" s="11">
        <v>24</v>
      </c>
      <c r="J4" s="11">
        <f t="shared" ref="J4:J50" si="1">H4+I4</f>
        <v>68</v>
      </c>
      <c r="K4" s="11">
        <f t="shared" ref="K4:K50" si="2">RANK(J4,J:J,0)</f>
        <v>2</v>
      </c>
      <c r="L4" s="11" t="s">
        <v>14</v>
      </c>
    </row>
    <row r="5" ht="27" customHeight="1" spans="1:12">
      <c r="A5" s="11">
        <v>3</v>
      </c>
      <c r="B5" s="11" t="str">
        <f>"李茂"</f>
        <v>李茂</v>
      </c>
      <c r="C5" s="11" t="s">
        <v>252</v>
      </c>
      <c r="D5" s="12" t="str">
        <f t="shared" si="0"/>
        <v>审批局-企业（经济）服务岗（高新）</v>
      </c>
      <c r="E5" s="11" t="str">
        <f>"202408240501"</f>
        <v>202408240501</v>
      </c>
      <c r="F5" s="11">
        <v>5</v>
      </c>
      <c r="G5" s="11">
        <v>1</v>
      </c>
      <c r="H5" s="11">
        <v>44</v>
      </c>
      <c r="I5" s="11">
        <v>20</v>
      </c>
      <c r="J5" s="11">
        <f t="shared" si="1"/>
        <v>64</v>
      </c>
      <c r="K5" s="11">
        <f t="shared" si="2"/>
        <v>3</v>
      </c>
      <c r="L5" s="11" t="s">
        <v>14</v>
      </c>
    </row>
    <row r="6" ht="27" customHeight="1" spans="1:12">
      <c r="A6" s="11">
        <v>4</v>
      </c>
      <c r="B6" s="11" t="str">
        <f>"赵丁"</f>
        <v>赵丁</v>
      </c>
      <c r="C6" s="11" t="s">
        <v>253</v>
      </c>
      <c r="D6" s="12" t="str">
        <f t="shared" si="0"/>
        <v>审批局-企业（经济）服务岗（高新）</v>
      </c>
      <c r="E6" s="11" t="str">
        <f>"202408240911"</f>
        <v>202408240911</v>
      </c>
      <c r="F6" s="11">
        <v>9</v>
      </c>
      <c r="G6" s="11">
        <v>11</v>
      </c>
      <c r="H6" s="11">
        <v>43</v>
      </c>
      <c r="I6" s="11">
        <v>20</v>
      </c>
      <c r="J6" s="11">
        <f t="shared" si="1"/>
        <v>63</v>
      </c>
      <c r="K6" s="11">
        <f t="shared" si="2"/>
        <v>4</v>
      </c>
      <c r="L6" s="11" t="s">
        <v>14</v>
      </c>
    </row>
    <row r="7" ht="27" customHeight="1" spans="1:12">
      <c r="A7" s="11">
        <v>5</v>
      </c>
      <c r="B7" s="11" t="str">
        <f>"龚惟"</f>
        <v>龚惟</v>
      </c>
      <c r="C7" s="11" t="s">
        <v>254</v>
      </c>
      <c r="D7" s="12" t="str">
        <f t="shared" si="0"/>
        <v>审批局-企业（经济）服务岗（高新）</v>
      </c>
      <c r="E7" s="11" t="str">
        <f>"202408240623"</f>
        <v>202408240623</v>
      </c>
      <c r="F7" s="11">
        <v>6</v>
      </c>
      <c r="G7" s="11">
        <v>23</v>
      </c>
      <c r="H7" s="11">
        <v>42</v>
      </c>
      <c r="I7" s="11">
        <v>19</v>
      </c>
      <c r="J7" s="11">
        <f t="shared" si="1"/>
        <v>61</v>
      </c>
      <c r="K7" s="11">
        <f t="shared" si="2"/>
        <v>5</v>
      </c>
      <c r="L7" s="11" t="s">
        <v>14</v>
      </c>
    </row>
    <row r="8" ht="27" customHeight="1" spans="1:12">
      <c r="A8" s="11">
        <v>6</v>
      </c>
      <c r="B8" s="11" t="str">
        <f>"杨斌"</f>
        <v>杨斌</v>
      </c>
      <c r="C8" s="11" t="s">
        <v>255</v>
      </c>
      <c r="D8" s="12" t="str">
        <f t="shared" si="0"/>
        <v>审批局-企业（经济）服务岗（高新）</v>
      </c>
      <c r="E8" s="11" t="str">
        <f>"202408240711"</f>
        <v>202408240711</v>
      </c>
      <c r="F8" s="11">
        <v>7</v>
      </c>
      <c r="G8" s="11">
        <v>11</v>
      </c>
      <c r="H8" s="11">
        <v>42</v>
      </c>
      <c r="I8" s="11">
        <v>17</v>
      </c>
      <c r="J8" s="11">
        <f t="shared" si="1"/>
        <v>59</v>
      </c>
      <c r="K8" s="11">
        <f t="shared" si="2"/>
        <v>6</v>
      </c>
      <c r="L8" s="11" t="s">
        <v>21</v>
      </c>
    </row>
    <row r="9" ht="27" customHeight="1" spans="1:12">
      <c r="A9" s="11">
        <v>7</v>
      </c>
      <c r="B9" s="11" t="str">
        <f>"李倚"</f>
        <v>李倚</v>
      </c>
      <c r="C9" s="11" t="s">
        <v>256</v>
      </c>
      <c r="D9" s="12" t="str">
        <f t="shared" si="0"/>
        <v>审批局-企业（经济）服务岗（高新）</v>
      </c>
      <c r="E9" s="11" t="str">
        <f>"202408240805"</f>
        <v>202408240805</v>
      </c>
      <c r="F9" s="11">
        <v>8</v>
      </c>
      <c r="G9" s="11">
        <v>5</v>
      </c>
      <c r="H9" s="11">
        <v>44</v>
      </c>
      <c r="I9" s="11">
        <v>15</v>
      </c>
      <c r="J9" s="11">
        <f t="shared" si="1"/>
        <v>59</v>
      </c>
      <c r="K9" s="11">
        <f t="shared" si="2"/>
        <v>6</v>
      </c>
      <c r="L9" s="11" t="s">
        <v>21</v>
      </c>
    </row>
    <row r="10" ht="27" customHeight="1" spans="1:12">
      <c r="A10" s="11">
        <v>8</v>
      </c>
      <c r="B10" s="11" t="str">
        <f>"江明骏"</f>
        <v>江明骏</v>
      </c>
      <c r="C10" s="11" t="s">
        <v>257</v>
      </c>
      <c r="D10" s="12" t="str">
        <f t="shared" si="0"/>
        <v>审批局-企业（经济）服务岗（高新）</v>
      </c>
      <c r="E10" s="11" t="str">
        <f>"202408240930"</f>
        <v>202408240930</v>
      </c>
      <c r="F10" s="11">
        <v>9</v>
      </c>
      <c r="G10" s="11">
        <v>30</v>
      </c>
      <c r="H10" s="11">
        <v>43</v>
      </c>
      <c r="I10" s="11">
        <v>15</v>
      </c>
      <c r="J10" s="11">
        <f t="shared" si="1"/>
        <v>58</v>
      </c>
      <c r="K10" s="11">
        <f t="shared" si="2"/>
        <v>8</v>
      </c>
      <c r="L10" s="11" t="s">
        <v>21</v>
      </c>
    </row>
    <row r="11" ht="27" customHeight="1" spans="1:12">
      <c r="A11" s="11">
        <v>9</v>
      </c>
      <c r="B11" s="11" t="str">
        <f>"李珂"</f>
        <v>李珂</v>
      </c>
      <c r="C11" s="11" t="s">
        <v>258</v>
      </c>
      <c r="D11" s="12" t="str">
        <f t="shared" si="0"/>
        <v>审批局-企业（经济）服务岗（高新）</v>
      </c>
      <c r="E11" s="11" t="str">
        <f>"202408240522"</f>
        <v>202408240522</v>
      </c>
      <c r="F11" s="11">
        <v>5</v>
      </c>
      <c r="G11" s="11">
        <v>22</v>
      </c>
      <c r="H11" s="11">
        <v>40</v>
      </c>
      <c r="I11" s="11">
        <v>15</v>
      </c>
      <c r="J11" s="11">
        <f t="shared" si="1"/>
        <v>55</v>
      </c>
      <c r="K11" s="11">
        <f t="shared" si="2"/>
        <v>9</v>
      </c>
      <c r="L11" s="11" t="s">
        <v>21</v>
      </c>
    </row>
    <row r="12" ht="27" customHeight="1" spans="1:12">
      <c r="A12" s="11">
        <v>10</v>
      </c>
      <c r="B12" s="11" t="str">
        <f>"冯燕"</f>
        <v>冯燕</v>
      </c>
      <c r="C12" s="11" t="s">
        <v>259</v>
      </c>
      <c r="D12" s="12" t="str">
        <f t="shared" si="0"/>
        <v>审批局-企业（经济）服务岗（高新）</v>
      </c>
      <c r="E12" s="11" t="str">
        <f>"202408240715"</f>
        <v>202408240715</v>
      </c>
      <c r="F12" s="11">
        <v>7</v>
      </c>
      <c r="G12" s="11">
        <v>15</v>
      </c>
      <c r="H12" s="11">
        <v>45</v>
      </c>
      <c r="I12" s="11">
        <v>10</v>
      </c>
      <c r="J12" s="11">
        <f t="shared" si="1"/>
        <v>55</v>
      </c>
      <c r="K12" s="11">
        <f t="shared" si="2"/>
        <v>9</v>
      </c>
      <c r="L12" s="11" t="s">
        <v>21</v>
      </c>
    </row>
    <row r="13" ht="27" customHeight="1" spans="1:12">
      <c r="A13" s="11">
        <v>11</v>
      </c>
      <c r="B13" s="11" t="str">
        <f>"谢贵梅"</f>
        <v>谢贵梅</v>
      </c>
      <c r="C13" s="11" t="s">
        <v>260</v>
      </c>
      <c r="D13" s="12" t="str">
        <f t="shared" si="0"/>
        <v>审批局-企业（经济）服务岗（高新）</v>
      </c>
      <c r="E13" s="11" t="str">
        <f>"202408240738"</f>
        <v>202408240738</v>
      </c>
      <c r="F13" s="11">
        <v>7</v>
      </c>
      <c r="G13" s="11">
        <v>38</v>
      </c>
      <c r="H13" s="11">
        <v>40</v>
      </c>
      <c r="I13" s="11">
        <v>15</v>
      </c>
      <c r="J13" s="11">
        <f t="shared" si="1"/>
        <v>55</v>
      </c>
      <c r="K13" s="11">
        <f t="shared" si="2"/>
        <v>9</v>
      </c>
      <c r="L13" s="11" t="s">
        <v>21</v>
      </c>
    </row>
    <row r="14" ht="27" customHeight="1" spans="1:12">
      <c r="A14" s="11">
        <v>12</v>
      </c>
      <c r="B14" s="11" t="str">
        <f>"史正彬"</f>
        <v>史正彬</v>
      </c>
      <c r="C14" s="11" t="s">
        <v>261</v>
      </c>
      <c r="D14" s="12" t="str">
        <f t="shared" si="0"/>
        <v>审批局-企业（经济）服务岗（高新）</v>
      </c>
      <c r="E14" s="11" t="str">
        <f>"202408240534"</f>
        <v>202408240534</v>
      </c>
      <c r="F14" s="11">
        <v>5</v>
      </c>
      <c r="G14" s="11">
        <v>34</v>
      </c>
      <c r="H14" s="11">
        <v>34</v>
      </c>
      <c r="I14" s="11">
        <v>19</v>
      </c>
      <c r="J14" s="11">
        <f t="shared" si="1"/>
        <v>53</v>
      </c>
      <c r="K14" s="11">
        <f t="shared" si="2"/>
        <v>12</v>
      </c>
      <c r="L14" s="11" t="s">
        <v>21</v>
      </c>
    </row>
    <row r="15" ht="27" customHeight="1" spans="1:12">
      <c r="A15" s="11">
        <v>13</v>
      </c>
      <c r="B15" s="11" t="str">
        <f>"王小月"</f>
        <v>王小月</v>
      </c>
      <c r="C15" s="11" t="s">
        <v>262</v>
      </c>
      <c r="D15" s="12" t="str">
        <f t="shared" si="0"/>
        <v>审批局-企业（经济）服务岗（高新）</v>
      </c>
      <c r="E15" s="11" t="str">
        <f>"202408240934"</f>
        <v>202408240934</v>
      </c>
      <c r="F15" s="11">
        <v>9</v>
      </c>
      <c r="G15" s="11">
        <v>34</v>
      </c>
      <c r="H15" s="11">
        <v>32</v>
      </c>
      <c r="I15" s="11">
        <v>17</v>
      </c>
      <c r="J15" s="11">
        <f t="shared" si="1"/>
        <v>49</v>
      </c>
      <c r="K15" s="11">
        <f t="shared" si="2"/>
        <v>13</v>
      </c>
      <c r="L15" s="11" t="s">
        <v>21</v>
      </c>
    </row>
    <row r="16" ht="27" customHeight="1" spans="1:12">
      <c r="A16" s="11">
        <v>14</v>
      </c>
      <c r="B16" s="11" t="str">
        <f>"周红英"</f>
        <v>周红英</v>
      </c>
      <c r="C16" s="11" t="s">
        <v>263</v>
      </c>
      <c r="D16" s="12" t="str">
        <f t="shared" si="0"/>
        <v>审批局-企业（经济）服务岗（高新）</v>
      </c>
      <c r="E16" s="11" t="str">
        <f>"202408241428"</f>
        <v>202408241428</v>
      </c>
      <c r="F16" s="11">
        <v>14</v>
      </c>
      <c r="G16" s="11">
        <v>28</v>
      </c>
      <c r="H16" s="11">
        <v>36</v>
      </c>
      <c r="I16" s="11">
        <v>13</v>
      </c>
      <c r="J16" s="11">
        <f t="shared" si="1"/>
        <v>49</v>
      </c>
      <c r="K16" s="11">
        <f t="shared" si="2"/>
        <v>13</v>
      </c>
      <c r="L16" s="11" t="s">
        <v>21</v>
      </c>
    </row>
    <row r="17" ht="27" customHeight="1" spans="1:12">
      <c r="A17" s="11">
        <v>15</v>
      </c>
      <c r="B17" s="11" t="str">
        <f>"罗春英"</f>
        <v>罗春英</v>
      </c>
      <c r="C17" s="11" t="s">
        <v>264</v>
      </c>
      <c r="D17" s="12" t="str">
        <f t="shared" si="0"/>
        <v>审批局-企业（经济）服务岗（高新）</v>
      </c>
      <c r="E17" s="11" t="str">
        <f>"202408240409"</f>
        <v>202408240409</v>
      </c>
      <c r="F17" s="11">
        <v>4</v>
      </c>
      <c r="G17" s="11">
        <v>9</v>
      </c>
      <c r="H17" s="11">
        <v>36</v>
      </c>
      <c r="I17" s="11">
        <v>12</v>
      </c>
      <c r="J17" s="11">
        <f t="shared" si="1"/>
        <v>48</v>
      </c>
      <c r="K17" s="11">
        <f t="shared" si="2"/>
        <v>15</v>
      </c>
      <c r="L17" s="11" t="s">
        <v>21</v>
      </c>
    </row>
    <row r="18" ht="27" customHeight="1" spans="1:12">
      <c r="A18" s="11">
        <v>16</v>
      </c>
      <c r="B18" s="11" t="s">
        <v>265</v>
      </c>
      <c r="C18" s="11" t="s">
        <v>266</v>
      </c>
      <c r="D18" s="12" t="str">
        <f t="shared" si="0"/>
        <v>审批局-企业（经济）服务岗（高新）</v>
      </c>
      <c r="E18" s="11" t="s">
        <v>267</v>
      </c>
      <c r="F18" s="11">
        <v>3</v>
      </c>
      <c r="G18" s="11">
        <v>13</v>
      </c>
      <c r="H18" s="11">
        <v>34</v>
      </c>
      <c r="I18" s="11">
        <v>13</v>
      </c>
      <c r="J18" s="11">
        <f t="shared" si="1"/>
        <v>47</v>
      </c>
      <c r="K18" s="11">
        <f t="shared" si="2"/>
        <v>16</v>
      </c>
      <c r="L18" s="11" t="s">
        <v>21</v>
      </c>
    </row>
    <row r="19" ht="27" customHeight="1" spans="1:12">
      <c r="A19" s="11">
        <v>17</v>
      </c>
      <c r="B19" s="11" t="str">
        <f>"何莲"</f>
        <v>何莲</v>
      </c>
      <c r="C19" s="11" t="s">
        <v>268</v>
      </c>
      <c r="D19" s="12" t="str">
        <f t="shared" si="0"/>
        <v>审批局-企业（经济）服务岗（高新）</v>
      </c>
      <c r="E19" s="11" t="str">
        <f>"202408240508"</f>
        <v>202408240508</v>
      </c>
      <c r="F19" s="11">
        <v>5</v>
      </c>
      <c r="G19" s="11">
        <v>8</v>
      </c>
      <c r="H19" s="11">
        <v>30</v>
      </c>
      <c r="I19" s="11">
        <v>15</v>
      </c>
      <c r="J19" s="11">
        <f t="shared" si="1"/>
        <v>45</v>
      </c>
      <c r="K19" s="11">
        <f t="shared" si="2"/>
        <v>17</v>
      </c>
      <c r="L19" s="11" t="s">
        <v>21</v>
      </c>
    </row>
    <row r="20" ht="27" customHeight="1" spans="1:12">
      <c r="A20" s="11">
        <v>18</v>
      </c>
      <c r="B20" s="11" t="str">
        <f>"肖江莉"</f>
        <v>肖江莉</v>
      </c>
      <c r="C20" s="11" t="s">
        <v>269</v>
      </c>
      <c r="D20" s="12" t="str">
        <f t="shared" si="0"/>
        <v>审批局-企业（经济）服务岗（高新）</v>
      </c>
      <c r="E20" s="11" t="str">
        <f>"202408240532"</f>
        <v>202408240532</v>
      </c>
      <c r="F20" s="11">
        <v>5</v>
      </c>
      <c r="G20" s="11">
        <v>32</v>
      </c>
      <c r="H20" s="11">
        <v>35</v>
      </c>
      <c r="I20" s="11">
        <v>9</v>
      </c>
      <c r="J20" s="11">
        <f t="shared" si="1"/>
        <v>44</v>
      </c>
      <c r="K20" s="11">
        <f t="shared" si="2"/>
        <v>18</v>
      </c>
      <c r="L20" s="11" t="s">
        <v>21</v>
      </c>
    </row>
    <row r="21" ht="27" customHeight="1" spans="1:12">
      <c r="A21" s="11">
        <v>19</v>
      </c>
      <c r="B21" s="11" t="str">
        <f>"程苏友"</f>
        <v>程苏友</v>
      </c>
      <c r="C21" s="11" t="s">
        <v>270</v>
      </c>
      <c r="D21" s="12" t="str">
        <f t="shared" si="0"/>
        <v>审批局-企业（经济）服务岗（高新）</v>
      </c>
      <c r="E21" s="11" t="str">
        <f>"202408240627"</f>
        <v>202408240627</v>
      </c>
      <c r="F21" s="11">
        <v>6</v>
      </c>
      <c r="G21" s="11">
        <v>27</v>
      </c>
      <c r="H21" s="11">
        <v>35</v>
      </c>
      <c r="I21" s="11">
        <v>9</v>
      </c>
      <c r="J21" s="11">
        <f t="shared" si="1"/>
        <v>44</v>
      </c>
      <c r="K21" s="11">
        <f t="shared" si="2"/>
        <v>18</v>
      </c>
      <c r="L21" s="11" t="s">
        <v>21</v>
      </c>
    </row>
    <row r="22" ht="27" customHeight="1" spans="1:12">
      <c r="A22" s="11">
        <v>20</v>
      </c>
      <c r="B22" s="11" t="str">
        <f>"唐瑞佳"</f>
        <v>唐瑞佳</v>
      </c>
      <c r="C22" s="11" t="s">
        <v>271</v>
      </c>
      <c r="D22" s="12" t="str">
        <f t="shared" si="0"/>
        <v>审批局-企业（经济）服务岗（高新）</v>
      </c>
      <c r="E22" s="11" t="str">
        <f>"202408240817"</f>
        <v>202408240817</v>
      </c>
      <c r="F22" s="11">
        <v>8</v>
      </c>
      <c r="G22" s="11">
        <v>17</v>
      </c>
      <c r="H22" s="11">
        <v>34</v>
      </c>
      <c r="I22" s="11">
        <v>10</v>
      </c>
      <c r="J22" s="11">
        <f t="shared" si="1"/>
        <v>44</v>
      </c>
      <c r="K22" s="11">
        <f t="shared" si="2"/>
        <v>18</v>
      </c>
      <c r="L22" s="11" t="s">
        <v>21</v>
      </c>
    </row>
    <row r="23" ht="27" customHeight="1" spans="1:12">
      <c r="A23" s="11">
        <v>21</v>
      </c>
      <c r="B23" s="11" t="s">
        <v>272</v>
      </c>
      <c r="C23" s="11" t="s">
        <v>273</v>
      </c>
      <c r="D23" s="12" t="str">
        <f t="shared" si="0"/>
        <v>审批局-企业（经济）服务岗（高新）</v>
      </c>
      <c r="E23" s="11" t="s">
        <v>274</v>
      </c>
      <c r="F23" s="11">
        <v>3</v>
      </c>
      <c r="G23" s="11">
        <v>5</v>
      </c>
      <c r="H23" s="11">
        <v>36</v>
      </c>
      <c r="I23" s="11">
        <v>7</v>
      </c>
      <c r="J23" s="11">
        <f t="shared" si="1"/>
        <v>43</v>
      </c>
      <c r="K23" s="11">
        <f t="shared" si="2"/>
        <v>21</v>
      </c>
      <c r="L23" s="11" t="s">
        <v>21</v>
      </c>
    </row>
    <row r="24" ht="27" customHeight="1" spans="1:12">
      <c r="A24" s="11">
        <v>22</v>
      </c>
      <c r="B24" s="11" t="str">
        <f>"孙毅"</f>
        <v>孙毅</v>
      </c>
      <c r="C24" s="11" t="s">
        <v>275</v>
      </c>
      <c r="D24" s="12" t="str">
        <f t="shared" si="0"/>
        <v>审批局-企业（经济）服务岗（高新）</v>
      </c>
      <c r="E24" s="11" t="str">
        <f>"202408241415"</f>
        <v>202408241415</v>
      </c>
      <c r="F24" s="11">
        <v>14</v>
      </c>
      <c r="G24" s="11">
        <v>15</v>
      </c>
      <c r="H24" s="11">
        <v>32</v>
      </c>
      <c r="I24" s="11">
        <v>8</v>
      </c>
      <c r="J24" s="11">
        <f t="shared" si="1"/>
        <v>40</v>
      </c>
      <c r="K24" s="11">
        <f t="shared" si="2"/>
        <v>22</v>
      </c>
      <c r="L24" s="11" t="s">
        <v>21</v>
      </c>
    </row>
    <row r="25" ht="27" customHeight="1" spans="1:12">
      <c r="A25" s="11">
        <v>23</v>
      </c>
      <c r="B25" s="11" t="s">
        <v>276</v>
      </c>
      <c r="C25" s="11" t="s">
        <v>277</v>
      </c>
      <c r="D25" s="12" t="str">
        <f t="shared" si="0"/>
        <v>审批局-企业（经济）服务岗（高新）</v>
      </c>
      <c r="E25" s="11" t="s">
        <v>278</v>
      </c>
      <c r="F25" s="11">
        <v>2</v>
      </c>
      <c r="G25" s="11">
        <v>11</v>
      </c>
      <c r="H25" s="11">
        <v>39</v>
      </c>
      <c r="I25" s="11">
        <v>0</v>
      </c>
      <c r="J25" s="11">
        <f t="shared" si="1"/>
        <v>39</v>
      </c>
      <c r="K25" s="11">
        <f t="shared" si="2"/>
        <v>23</v>
      </c>
      <c r="L25" s="11" t="s">
        <v>21</v>
      </c>
    </row>
    <row r="26" ht="27" customHeight="1" spans="1:12">
      <c r="A26" s="11">
        <v>24</v>
      </c>
      <c r="B26" s="11" t="str">
        <f>"张琳"</f>
        <v>张琳</v>
      </c>
      <c r="C26" s="11" t="s">
        <v>279</v>
      </c>
      <c r="D26" s="12" t="str">
        <f t="shared" si="0"/>
        <v>审批局-企业（经济）服务岗（高新）</v>
      </c>
      <c r="E26" s="11" t="str">
        <f>"202408240935"</f>
        <v>202408240935</v>
      </c>
      <c r="F26" s="11">
        <v>9</v>
      </c>
      <c r="G26" s="11">
        <v>35</v>
      </c>
      <c r="H26" s="11">
        <v>30</v>
      </c>
      <c r="I26" s="11">
        <v>8</v>
      </c>
      <c r="J26" s="11">
        <f t="shared" si="1"/>
        <v>38</v>
      </c>
      <c r="K26" s="11">
        <f t="shared" si="2"/>
        <v>24</v>
      </c>
      <c r="L26" s="11" t="s">
        <v>21</v>
      </c>
    </row>
    <row r="27" ht="27" customHeight="1" spans="1:12">
      <c r="A27" s="11">
        <v>25</v>
      </c>
      <c r="B27" s="11" t="str">
        <f>"胡文"</f>
        <v>胡文</v>
      </c>
      <c r="C27" s="11" t="s">
        <v>280</v>
      </c>
      <c r="D27" s="12" t="str">
        <f t="shared" si="0"/>
        <v>审批局-企业（经济）服务岗（高新）</v>
      </c>
      <c r="E27" s="11" t="str">
        <f>"202408240406"</f>
        <v>202408240406</v>
      </c>
      <c r="F27" s="11">
        <v>4</v>
      </c>
      <c r="G27" s="11">
        <v>6</v>
      </c>
      <c r="H27" s="11">
        <v>0</v>
      </c>
      <c r="I27" s="11">
        <v>0</v>
      </c>
      <c r="J27" s="7" t="s">
        <v>20</v>
      </c>
      <c r="K27" s="7"/>
      <c r="L27" s="11" t="s">
        <v>21</v>
      </c>
    </row>
    <row r="28" ht="27" customHeight="1" spans="1:12">
      <c r="A28" s="11">
        <v>26</v>
      </c>
      <c r="B28" s="11" t="str">
        <f>"郑倩"</f>
        <v>郑倩</v>
      </c>
      <c r="C28" s="11" t="s">
        <v>281</v>
      </c>
      <c r="D28" s="12" t="str">
        <f t="shared" si="0"/>
        <v>审批局-企业（经济）服务岗（高新）</v>
      </c>
      <c r="E28" s="11" t="str">
        <f>"202408240431"</f>
        <v>202408240431</v>
      </c>
      <c r="F28" s="11">
        <v>4</v>
      </c>
      <c r="G28" s="11">
        <v>31</v>
      </c>
      <c r="H28" s="11">
        <v>0</v>
      </c>
      <c r="I28" s="11">
        <v>0</v>
      </c>
      <c r="J28" s="7" t="s">
        <v>20</v>
      </c>
      <c r="K28" s="7"/>
      <c r="L28" s="11" t="s">
        <v>21</v>
      </c>
    </row>
    <row r="29" ht="27" customHeight="1" spans="1:12">
      <c r="A29" s="11">
        <v>27</v>
      </c>
      <c r="B29" s="11" t="str">
        <f>"何章林"</f>
        <v>何章林</v>
      </c>
      <c r="C29" s="11" t="s">
        <v>282</v>
      </c>
      <c r="D29" s="12" t="str">
        <f t="shared" si="0"/>
        <v>审批局-企业（经济）服务岗（高新）</v>
      </c>
      <c r="E29" s="11" t="str">
        <f>"202408240436"</f>
        <v>202408240436</v>
      </c>
      <c r="F29" s="11">
        <v>4</v>
      </c>
      <c r="G29" s="11">
        <v>36</v>
      </c>
      <c r="H29" s="11">
        <v>0</v>
      </c>
      <c r="I29" s="11">
        <v>0</v>
      </c>
      <c r="J29" s="7" t="s">
        <v>20</v>
      </c>
      <c r="K29" s="7"/>
      <c r="L29" s="11" t="s">
        <v>21</v>
      </c>
    </row>
    <row r="30" ht="27" customHeight="1" spans="1:12">
      <c r="A30" s="11">
        <v>28</v>
      </c>
      <c r="B30" s="11" t="str">
        <f>"孙正琪"</f>
        <v>孙正琪</v>
      </c>
      <c r="C30" s="11" t="s">
        <v>283</v>
      </c>
      <c r="D30" s="12" t="str">
        <f t="shared" si="0"/>
        <v>审批局-企业（经济）服务岗（高新）</v>
      </c>
      <c r="E30" s="11" t="str">
        <f>"202408240517"</f>
        <v>202408240517</v>
      </c>
      <c r="F30" s="11">
        <v>5</v>
      </c>
      <c r="G30" s="11">
        <v>17</v>
      </c>
      <c r="H30" s="11">
        <v>0</v>
      </c>
      <c r="I30" s="11">
        <v>0</v>
      </c>
      <c r="J30" s="7" t="s">
        <v>20</v>
      </c>
      <c r="K30" s="7"/>
      <c r="L30" s="11" t="s">
        <v>21</v>
      </c>
    </row>
    <row r="31" ht="27" customHeight="1" spans="1:12">
      <c r="A31" s="11">
        <v>29</v>
      </c>
      <c r="B31" s="11" t="str">
        <f>"杨岚予"</f>
        <v>杨岚予</v>
      </c>
      <c r="C31" s="11" t="s">
        <v>284</v>
      </c>
      <c r="D31" s="12" t="str">
        <f t="shared" si="0"/>
        <v>审批局-企业（经济）服务岗（高新）</v>
      </c>
      <c r="E31" s="11" t="str">
        <f>"202408240518"</f>
        <v>202408240518</v>
      </c>
      <c r="F31" s="11">
        <v>5</v>
      </c>
      <c r="G31" s="11">
        <v>18</v>
      </c>
      <c r="H31" s="11">
        <v>0</v>
      </c>
      <c r="I31" s="11">
        <v>0</v>
      </c>
      <c r="J31" s="7" t="s">
        <v>20</v>
      </c>
      <c r="K31" s="7"/>
      <c r="L31" s="11" t="s">
        <v>21</v>
      </c>
    </row>
    <row r="32" ht="27" customHeight="1" spans="1:12">
      <c r="A32" s="11">
        <v>30</v>
      </c>
      <c r="B32" s="11" t="str">
        <f>"车秉鸿"</f>
        <v>车秉鸿</v>
      </c>
      <c r="C32" s="11" t="s">
        <v>285</v>
      </c>
      <c r="D32" s="12" t="str">
        <f t="shared" si="0"/>
        <v>审批局-企业（经济）服务岗（高新）</v>
      </c>
      <c r="E32" s="11" t="str">
        <f>"202408240617"</f>
        <v>202408240617</v>
      </c>
      <c r="F32" s="11">
        <v>6</v>
      </c>
      <c r="G32" s="11">
        <v>17</v>
      </c>
      <c r="H32" s="11">
        <v>0</v>
      </c>
      <c r="I32" s="11">
        <v>0</v>
      </c>
      <c r="J32" s="7" t="s">
        <v>20</v>
      </c>
      <c r="K32" s="7"/>
      <c r="L32" s="11" t="s">
        <v>21</v>
      </c>
    </row>
    <row r="33" ht="27" customHeight="1" spans="1:12">
      <c r="A33" s="11">
        <v>31</v>
      </c>
      <c r="B33" s="11" t="str">
        <f>"罗银秀"</f>
        <v>罗银秀</v>
      </c>
      <c r="C33" s="11" t="s">
        <v>286</v>
      </c>
      <c r="D33" s="12" t="str">
        <f t="shared" si="0"/>
        <v>审批局-企业（经济）服务岗（高新）</v>
      </c>
      <c r="E33" s="11" t="str">
        <f>"202408240718"</f>
        <v>202408240718</v>
      </c>
      <c r="F33" s="11">
        <v>7</v>
      </c>
      <c r="G33" s="11">
        <v>18</v>
      </c>
      <c r="H33" s="11">
        <v>0</v>
      </c>
      <c r="I33" s="11">
        <v>0</v>
      </c>
      <c r="J33" s="7" t="s">
        <v>20</v>
      </c>
      <c r="K33" s="7"/>
      <c r="L33" s="11" t="s">
        <v>21</v>
      </c>
    </row>
    <row r="34" ht="27" customHeight="1" spans="1:12">
      <c r="A34" s="11">
        <v>32</v>
      </c>
      <c r="B34" s="11" t="str">
        <f>"陈悦"</f>
        <v>陈悦</v>
      </c>
      <c r="C34" s="11" t="s">
        <v>287</v>
      </c>
      <c r="D34" s="12" t="str">
        <f t="shared" si="0"/>
        <v>审批局-企业（经济）服务岗（高新）</v>
      </c>
      <c r="E34" s="11" t="str">
        <f>"202408240736"</f>
        <v>202408240736</v>
      </c>
      <c r="F34" s="11">
        <v>7</v>
      </c>
      <c r="G34" s="11">
        <v>36</v>
      </c>
      <c r="H34" s="11">
        <v>0</v>
      </c>
      <c r="I34" s="11">
        <v>0</v>
      </c>
      <c r="J34" s="7" t="s">
        <v>20</v>
      </c>
      <c r="K34" s="7"/>
      <c r="L34" s="11" t="s">
        <v>21</v>
      </c>
    </row>
    <row r="35" ht="27" customHeight="1" spans="1:12">
      <c r="A35" s="11">
        <v>33</v>
      </c>
      <c r="B35" s="11" t="str">
        <f>"张轩"</f>
        <v>张轩</v>
      </c>
      <c r="C35" s="11" t="s">
        <v>288</v>
      </c>
      <c r="D35" s="12" t="str">
        <f t="shared" si="0"/>
        <v>审批局-企业（经济）服务岗（高新）</v>
      </c>
      <c r="E35" s="11" t="str">
        <f>"202408240802"</f>
        <v>202408240802</v>
      </c>
      <c r="F35" s="11">
        <v>8</v>
      </c>
      <c r="G35" s="11">
        <v>2</v>
      </c>
      <c r="H35" s="11">
        <v>0</v>
      </c>
      <c r="I35" s="11">
        <v>0</v>
      </c>
      <c r="J35" s="7" t="s">
        <v>20</v>
      </c>
      <c r="K35" s="7"/>
      <c r="L35" s="11" t="s">
        <v>21</v>
      </c>
    </row>
    <row r="36" ht="27" customHeight="1" spans="1:12">
      <c r="A36" s="11">
        <v>34</v>
      </c>
      <c r="B36" s="11" t="str">
        <f>"苟柏霖"</f>
        <v>苟柏霖</v>
      </c>
      <c r="C36" s="11" t="s">
        <v>289</v>
      </c>
      <c r="D36" s="12" t="str">
        <f t="shared" si="0"/>
        <v>审批局-企业（经济）服务岗（高新）</v>
      </c>
      <c r="E36" s="11" t="str">
        <f>"202408240818"</f>
        <v>202408240818</v>
      </c>
      <c r="F36" s="11">
        <v>8</v>
      </c>
      <c r="G36" s="11">
        <v>18</v>
      </c>
      <c r="H36" s="11">
        <v>0</v>
      </c>
      <c r="I36" s="11">
        <v>0</v>
      </c>
      <c r="J36" s="7" t="s">
        <v>20</v>
      </c>
      <c r="K36" s="7"/>
      <c r="L36" s="11" t="s">
        <v>21</v>
      </c>
    </row>
    <row r="37" ht="27" customHeight="1" spans="1:12">
      <c r="A37" s="11">
        <v>35</v>
      </c>
      <c r="B37" s="11" t="str">
        <f>"黄华帅"</f>
        <v>黄华帅</v>
      </c>
      <c r="C37" s="11" t="s">
        <v>290</v>
      </c>
      <c r="D37" s="12" t="str">
        <f t="shared" si="0"/>
        <v>审批局-企业（经济）服务岗（高新）</v>
      </c>
      <c r="E37" s="11" t="str">
        <f>"202408240823"</f>
        <v>202408240823</v>
      </c>
      <c r="F37" s="11">
        <v>8</v>
      </c>
      <c r="G37" s="11">
        <v>23</v>
      </c>
      <c r="H37" s="11">
        <v>0</v>
      </c>
      <c r="I37" s="11">
        <v>0</v>
      </c>
      <c r="J37" s="7" t="s">
        <v>20</v>
      </c>
      <c r="K37" s="7"/>
      <c r="L37" s="11" t="s">
        <v>21</v>
      </c>
    </row>
    <row r="38" ht="27" customHeight="1" spans="1:12">
      <c r="A38" s="11">
        <v>36</v>
      </c>
      <c r="B38" s="11" t="str">
        <f>"熊小博"</f>
        <v>熊小博</v>
      </c>
      <c r="C38" s="11" t="s">
        <v>291</v>
      </c>
      <c r="D38" s="12" t="str">
        <f t="shared" si="0"/>
        <v>审批局-企业（经济）服务岗（高新）</v>
      </c>
      <c r="E38" s="11" t="str">
        <f>"202408240827"</f>
        <v>202408240827</v>
      </c>
      <c r="F38" s="11">
        <v>8</v>
      </c>
      <c r="G38" s="11">
        <v>27</v>
      </c>
      <c r="H38" s="11">
        <v>0</v>
      </c>
      <c r="I38" s="11">
        <v>0</v>
      </c>
      <c r="J38" s="7" t="s">
        <v>20</v>
      </c>
      <c r="K38" s="7"/>
      <c r="L38" s="11" t="s">
        <v>21</v>
      </c>
    </row>
    <row r="39" ht="27" customHeight="1" spans="1:12">
      <c r="A39" s="11">
        <v>37</v>
      </c>
      <c r="B39" s="11" t="str">
        <f>"王铃"</f>
        <v>王铃</v>
      </c>
      <c r="C39" s="11" t="s">
        <v>292</v>
      </c>
      <c r="D39" s="12" t="str">
        <f t="shared" si="0"/>
        <v>审批局-企业（经济）服务岗（高新）</v>
      </c>
      <c r="E39" s="11" t="str">
        <f>"202408240832"</f>
        <v>202408240832</v>
      </c>
      <c r="F39" s="11">
        <v>8</v>
      </c>
      <c r="G39" s="11">
        <v>32</v>
      </c>
      <c r="H39" s="11">
        <v>0</v>
      </c>
      <c r="I39" s="11">
        <v>0</v>
      </c>
      <c r="J39" s="7" t="s">
        <v>20</v>
      </c>
      <c r="K39" s="7"/>
      <c r="L39" s="11" t="s">
        <v>21</v>
      </c>
    </row>
    <row r="40" ht="27" customHeight="1" spans="1:12">
      <c r="A40" s="11">
        <v>38</v>
      </c>
      <c r="B40" s="11" t="str">
        <f>"林浩帆"</f>
        <v>林浩帆</v>
      </c>
      <c r="C40" s="11" t="s">
        <v>293</v>
      </c>
      <c r="D40" s="12" t="str">
        <f t="shared" si="0"/>
        <v>审批局-企业（经济）服务岗（高新）</v>
      </c>
      <c r="E40" s="11" t="str">
        <f>"202408240835"</f>
        <v>202408240835</v>
      </c>
      <c r="F40" s="11">
        <v>8</v>
      </c>
      <c r="G40" s="11">
        <v>35</v>
      </c>
      <c r="H40" s="11">
        <v>0</v>
      </c>
      <c r="I40" s="11">
        <v>0</v>
      </c>
      <c r="J40" s="7" t="s">
        <v>20</v>
      </c>
      <c r="K40" s="7"/>
      <c r="L40" s="11" t="s">
        <v>21</v>
      </c>
    </row>
    <row r="41" ht="27" customHeight="1" spans="1:12">
      <c r="A41" s="11">
        <v>39</v>
      </c>
      <c r="B41" s="11" t="str">
        <f>"黄玉霞"</f>
        <v>黄玉霞</v>
      </c>
      <c r="C41" s="11" t="s">
        <v>294</v>
      </c>
      <c r="D41" s="12" t="str">
        <f t="shared" si="0"/>
        <v>审批局-企业（经济）服务岗（高新）</v>
      </c>
      <c r="E41" s="11" t="str">
        <f>"202408240928"</f>
        <v>202408240928</v>
      </c>
      <c r="F41" s="11">
        <v>9</v>
      </c>
      <c r="G41" s="11">
        <v>28</v>
      </c>
      <c r="H41" s="11">
        <v>0</v>
      </c>
      <c r="I41" s="11">
        <v>0</v>
      </c>
      <c r="J41" s="7" t="s">
        <v>20</v>
      </c>
      <c r="K41" s="7"/>
      <c r="L41" s="11" t="s">
        <v>21</v>
      </c>
    </row>
    <row r="42" ht="27" customHeight="1" spans="1:12">
      <c r="A42" s="11">
        <v>40</v>
      </c>
      <c r="B42" s="11" t="str">
        <f>"徐彧伟"</f>
        <v>徐彧伟</v>
      </c>
      <c r="C42" s="11" t="s">
        <v>295</v>
      </c>
      <c r="D42" s="12" t="str">
        <f t="shared" si="0"/>
        <v>审批局-企业（经济）服务岗（高新）</v>
      </c>
      <c r="E42" s="11" t="str">
        <f>"202408240938"</f>
        <v>202408240938</v>
      </c>
      <c r="F42" s="11">
        <v>9</v>
      </c>
      <c r="G42" s="11">
        <v>38</v>
      </c>
      <c r="H42" s="11">
        <v>0</v>
      </c>
      <c r="I42" s="11">
        <v>0</v>
      </c>
      <c r="J42" s="7" t="s">
        <v>20</v>
      </c>
      <c r="K42" s="7"/>
      <c r="L42" s="11" t="s">
        <v>21</v>
      </c>
    </row>
    <row r="43" s="10" customFormat="1" ht="27" customHeight="1" spans="1:12">
      <c r="A43" s="11">
        <v>41</v>
      </c>
      <c r="B43" s="11" t="str">
        <f>"熊砚秋"</f>
        <v>熊砚秋</v>
      </c>
      <c r="C43" s="11" t="s">
        <v>296</v>
      </c>
      <c r="D43" s="12" t="str">
        <f t="shared" ref="D43:D50" si="3">"审批局-企业（经济）服务岗（高新）"</f>
        <v>审批局-企业（经济）服务岗（高新）</v>
      </c>
      <c r="E43" s="11" t="str">
        <f>"202408241411"</f>
        <v>202408241411</v>
      </c>
      <c r="F43" s="11">
        <v>14</v>
      </c>
      <c r="G43" s="11">
        <v>11</v>
      </c>
      <c r="H43" s="11">
        <v>0</v>
      </c>
      <c r="I43" s="11">
        <v>0</v>
      </c>
      <c r="J43" s="7" t="s">
        <v>20</v>
      </c>
      <c r="K43" s="7"/>
      <c r="L43" s="11" t="s">
        <v>21</v>
      </c>
    </row>
    <row r="44" s="10" customFormat="1" ht="27" customHeight="1" spans="1:12">
      <c r="A44" s="11">
        <v>42</v>
      </c>
      <c r="B44" s="11" t="str">
        <f>"谭方梨"</f>
        <v>谭方梨</v>
      </c>
      <c r="C44" s="11" t="s">
        <v>297</v>
      </c>
      <c r="D44" s="12" t="str">
        <f t="shared" si="3"/>
        <v>审批局-企业（经济）服务岗（高新）</v>
      </c>
      <c r="E44" s="11" t="str">
        <f>"202408240104"</f>
        <v>202408240104</v>
      </c>
      <c r="F44" s="11">
        <v>1</v>
      </c>
      <c r="G44" s="11">
        <v>4</v>
      </c>
      <c r="H44" s="11">
        <v>0</v>
      </c>
      <c r="I44" s="11">
        <v>0</v>
      </c>
      <c r="J44" s="7" t="s">
        <v>20</v>
      </c>
      <c r="K44" s="7"/>
      <c r="L44" s="11" t="s">
        <v>21</v>
      </c>
    </row>
    <row r="45" s="10" customFormat="1" ht="27" customHeight="1" spans="1:12">
      <c r="A45" s="11">
        <v>43</v>
      </c>
      <c r="B45" s="11" t="s">
        <v>298</v>
      </c>
      <c r="C45" s="11" t="s">
        <v>299</v>
      </c>
      <c r="D45" s="12" t="str">
        <f t="shared" si="3"/>
        <v>审批局-企业（经济）服务岗（高新）</v>
      </c>
      <c r="E45" s="11" t="s">
        <v>300</v>
      </c>
      <c r="F45" s="11">
        <v>1</v>
      </c>
      <c r="G45" s="11">
        <v>5</v>
      </c>
      <c r="H45" s="11">
        <v>0</v>
      </c>
      <c r="I45" s="11">
        <v>0</v>
      </c>
      <c r="J45" s="7" t="s">
        <v>20</v>
      </c>
      <c r="K45" s="7"/>
      <c r="L45" s="11" t="s">
        <v>21</v>
      </c>
    </row>
    <row r="46" s="10" customFormat="1" ht="27" customHeight="1" spans="1:12">
      <c r="A46" s="11">
        <v>44</v>
      </c>
      <c r="B46" s="11" t="s">
        <v>301</v>
      </c>
      <c r="C46" s="11" t="s">
        <v>302</v>
      </c>
      <c r="D46" s="12" t="str">
        <f t="shared" si="3"/>
        <v>审批局-企业（经济）服务岗（高新）</v>
      </c>
      <c r="E46" s="11" t="s">
        <v>303</v>
      </c>
      <c r="F46" s="11">
        <v>2</v>
      </c>
      <c r="G46" s="11">
        <v>2</v>
      </c>
      <c r="H46" s="11">
        <v>0</v>
      </c>
      <c r="I46" s="11">
        <v>0</v>
      </c>
      <c r="J46" s="7" t="s">
        <v>20</v>
      </c>
      <c r="K46" s="7"/>
      <c r="L46" s="11" t="s">
        <v>21</v>
      </c>
    </row>
    <row r="47" s="10" customFormat="1" ht="27" customHeight="1" spans="1:12">
      <c r="A47" s="11">
        <v>45</v>
      </c>
      <c r="B47" s="11" t="s">
        <v>304</v>
      </c>
      <c r="C47" s="11" t="s">
        <v>305</v>
      </c>
      <c r="D47" s="12" t="str">
        <f t="shared" si="3"/>
        <v>审批局-企业（经济）服务岗（高新）</v>
      </c>
      <c r="E47" s="11" t="s">
        <v>306</v>
      </c>
      <c r="F47" s="11">
        <v>2</v>
      </c>
      <c r="G47" s="11">
        <v>24</v>
      </c>
      <c r="H47" s="11">
        <v>0</v>
      </c>
      <c r="I47" s="11">
        <v>0</v>
      </c>
      <c r="J47" s="7" t="s">
        <v>20</v>
      </c>
      <c r="K47" s="7"/>
      <c r="L47" s="11" t="s">
        <v>21</v>
      </c>
    </row>
    <row r="48" s="10" customFormat="1" ht="27" customHeight="1" spans="1:12">
      <c r="A48" s="11">
        <v>46</v>
      </c>
      <c r="B48" s="11" t="s">
        <v>307</v>
      </c>
      <c r="C48" s="11" t="s">
        <v>308</v>
      </c>
      <c r="D48" s="12" t="str">
        <f t="shared" si="3"/>
        <v>审批局-企业（经济）服务岗（高新）</v>
      </c>
      <c r="E48" s="11" t="s">
        <v>309</v>
      </c>
      <c r="F48" s="11">
        <v>2</v>
      </c>
      <c r="G48" s="11">
        <v>34</v>
      </c>
      <c r="H48" s="11">
        <v>0</v>
      </c>
      <c r="I48" s="11">
        <v>0</v>
      </c>
      <c r="J48" s="7" t="s">
        <v>20</v>
      </c>
      <c r="K48" s="7"/>
      <c r="L48" s="11" t="s">
        <v>21</v>
      </c>
    </row>
    <row r="49" s="10" customFormat="1" ht="27" customHeight="1" spans="1:12">
      <c r="A49" s="11">
        <v>47</v>
      </c>
      <c r="B49" s="11" t="s">
        <v>310</v>
      </c>
      <c r="C49" s="11" t="s">
        <v>311</v>
      </c>
      <c r="D49" s="12" t="str">
        <f t="shared" si="3"/>
        <v>审批局-企业（经济）服务岗（高新）</v>
      </c>
      <c r="E49" s="11" t="s">
        <v>312</v>
      </c>
      <c r="F49" s="11">
        <v>3</v>
      </c>
      <c r="G49" s="11">
        <v>20</v>
      </c>
      <c r="H49" s="11">
        <v>0</v>
      </c>
      <c r="I49" s="11">
        <v>0</v>
      </c>
      <c r="J49" s="7" t="s">
        <v>20</v>
      </c>
      <c r="K49" s="7"/>
      <c r="L49" s="11" t="s">
        <v>21</v>
      </c>
    </row>
    <row r="50" s="10" customFormat="1" ht="27" customHeight="1" spans="1:12">
      <c r="A50" s="11">
        <v>48</v>
      </c>
      <c r="B50" s="11" t="s">
        <v>313</v>
      </c>
      <c r="C50" s="11" t="s">
        <v>314</v>
      </c>
      <c r="D50" s="12" t="str">
        <f t="shared" si="3"/>
        <v>审批局-企业（经济）服务岗（高新）</v>
      </c>
      <c r="E50" s="11" t="s">
        <v>315</v>
      </c>
      <c r="F50" s="11">
        <v>3</v>
      </c>
      <c r="G50" s="11">
        <v>38</v>
      </c>
      <c r="H50" s="11">
        <v>0</v>
      </c>
      <c r="I50" s="11">
        <v>0</v>
      </c>
      <c r="J50" s="7" t="s">
        <v>20</v>
      </c>
      <c r="K50" s="7"/>
      <c r="L50" s="11" t="s">
        <v>21</v>
      </c>
    </row>
  </sheetData>
  <sortState ref="A2:N49">
    <sortCondition ref="J2" descending="1"/>
  </sortState>
  <mergeCells count="1">
    <mergeCell ref="A1:L1"/>
  </mergeCells>
  <pageMargins left="0.314583333333333" right="0" top="0.751388888888889" bottom="0.751388888888889" header="0.298611111111111" footer="0.298611111111111"/>
  <pageSetup paperSize="9" scale="8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workbookViewId="0">
      <selection activeCell="E2" sqref="E$1:E$1048576"/>
    </sheetView>
  </sheetViews>
  <sheetFormatPr defaultColWidth="9" defaultRowHeight="14.25"/>
  <cols>
    <col min="1" max="1" width="4.66666666666667" style="1" customWidth="1"/>
    <col min="2" max="2" width="9" style="1"/>
    <col min="3" max="3" width="19.7333333333333" style="1" customWidth="1"/>
    <col min="4" max="4" width="31.8916666666667" style="3" customWidth="1"/>
    <col min="5" max="5" width="15.1083333333333" style="1" customWidth="1"/>
    <col min="6" max="9" width="9" style="1" hidden="1" customWidth="1"/>
    <col min="10" max="10" width="8.5" style="1" customWidth="1"/>
    <col min="11" max="11" width="6.66666666666667" style="1" customWidth="1"/>
    <col min="12" max="12" width="17.5583333333333" style="1" customWidth="1"/>
    <col min="13" max="16384" width="9" style="1"/>
  </cols>
  <sheetData>
    <row r="1" s="1" customFormat="1" ht="99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32" customHeight="1" spans="1:1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9" t="s">
        <v>10</v>
      </c>
      <c r="K2" s="5" t="s">
        <v>11</v>
      </c>
      <c r="L2" s="9" t="s">
        <v>12</v>
      </c>
    </row>
    <row r="3" ht="28" customHeight="1" spans="1:12">
      <c r="A3" s="7">
        <v>1</v>
      </c>
      <c r="B3" s="7" t="str">
        <f>"何雨婷"</f>
        <v>何雨婷</v>
      </c>
      <c r="C3" s="7" t="s">
        <v>316</v>
      </c>
      <c r="D3" s="8" t="str">
        <f t="shared" ref="D3:D36" si="0">"生态环境分局-综合管理岗（高新）"</f>
        <v>生态环境分局-综合管理岗（高新）</v>
      </c>
      <c r="E3" s="7" t="str">
        <f>"202408240212"</f>
        <v>202408240212</v>
      </c>
      <c r="F3" s="7">
        <v>2</v>
      </c>
      <c r="G3" s="7">
        <v>12</v>
      </c>
      <c r="H3" s="7">
        <v>44</v>
      </c>
      <c r="I3" s="7">
        <v>21</v>
      </c>
      <c r="J3" s="7">
        <f>H3+I3</f>
        <v>65</v>
      </c>
      <c r="K3" s="7">
        <f>RANK(J3,J:J,0)</f>
        <v>1</v>
      </c>
      <c r="L3" s="7" t="s">
        <v>14</v>
      </c>
    </row>
    <row r="4" ht="28" customHeight="1" spans="1:12">
      <c r="A4" s="7">
        <v>2</v>
      </c>
      <c r="B4" s="7" t="str">
        <f>"陈耀飞"</f>
        <v>陈耀飞</v>
      </c>
      <c r="C4" s="7" t="s">
        <v>317</v>
      </c>
      <c r="D4" s="8" t="str">
        <f t="shared" si="0"/>
        <v>生态环境分局-综合管理岗（高新）</v>
      </c>
      <c r="E4" s="7" t="str">
        <f>"202408240638"</f>
        <v>202408240638</v>
      </c>
      <c r="F4" s="7">
        <v>6</v>
      </c>
      <c r="G4" s="7">
        <v>38</v>
      </c>
      <c r="H4" s="7">
        <v>49</v>
      </c>
      <c r="I4" s="7">
        <v>16</v>
      </c>
      <c r="J4" s="7">
        <f t="shared" ref="J4:J36" si="1">H4+I4</f>
        <v>65</v>
      </c>
      <c r="K4" s="7">
        <f t="shared" ref="K4:K36" si="2">RANK(J4,J:J,0)</f>
        <v>1</v>
      </c>
      <c r="L4" s="7" t="s">
        <v>14</v>
      </c>
    </row>
    <row r="5" ht="28" customHeight="1" spans="1:12">
      <c r="A5" s="7">
        <v>3</v>
      </c>
      <c r="B5" s="7" t="str">
        <f>"肖亚冬"</f>
        <v>肖亚冬</v>
      </c>
      <c r="C5" s="7" t="s">
        <v>318</v>
      </c>
      <c r="D5" s="8" t="str">
        <f t="shared" si="0"/>
        <v>生态环境分局-综合管理岗（高新）</v>
      </c>
      <c r="E5" s="7" t="str">
        <f>"202408240803"</f>
        <v>202408240803</v>
      </c>
      <c r="F5" s="7">
        <v>8</v>
      </c>
      <c r="G5" s="7">
        <v>3</v>
      </c>
      <c r="H5" s="7">
        <v>45</v>
      </c>
      <c r="I5" s="7">
        <v>20</v>
      </c>
      <c r="J5" s="7">
        <f t="shared" si="1"/>
        <v>65</v>
      </c>
      <c r="K5" s="7">
        <f t="shared" si="2"/>
        <v>1</v>
      </c>
      <c r="L5" s="7" t="s">
        <v>14</v>
      </c>
    </row>
    <row r="6" ht="28" customHeight="1" spans="1:12">
      <c r="A6" s="7">
        <v>4</v>
      </c>
      <c r="B6" s="7" t="str">
        <f>"查浪"</f>
        <v>查浪</v>
      </c>
      <c r="C6" s="7" t="s">
        <v>319</v>
      </c>
      <c r="D6" s="8" t="str">
        <f t="shared" si="0"/>
        <v>生态环境分局-综合管理岗（高新）</v>
      </c>
      <c r="E6" s="7" t="str">
        <f>"202408240510"</f>
        <v>202408240510</v>
      </c>
      <c r="F6" s="7">
        <v>5</v>
      </c>
      <c r="G6" s="7">
        <v>10</v>
      </c>
      <c r="H6" s="7">
        <v>45</v>
      </c>
      <c r="I6" s="7">
        <v>18</v>
      </c>
      <c r="J6" s="7">
        <f t="shared" si="1"/>
        <v>63</v>
      </c>
      <c r="K6" s="7">
        <f t="shared" si="2"/>
        <v>4</v>
      </c>
      <c r="L6" s="7" t="s">
        <v>14</v>
      </c>
    </row>
    <row r="7" ht="28" customHeight="1" spans="1:12">
      <c r="A7" s="7">
        <v>5</v>
      </c>
      <c r="B7" s="7" t="str">
        <f>"陈依婷"</f>
        <v>陈依婷</v>
      </c>
      <c r="C7" s="7" t="s">
        <v>320</v>
      </c>
      <c r="D7" s="8" t="str">
        <f t="shared" si="0"/>
        <v>生态环境分局-综合管理岗（高新）</v>
      </c>
      <c r="E7" s="7" t="str">
        <f>"202408240523"</f>
        <v>202408240523</v>
      </c>
      <c r="F7" s="7">
        <v>5</v>
      </c>
      <c r="G7" s="7">
        <v>23</v>
      </c>
      <c r="H7" s="7">
        <v>44</v>
      </c>
      <c r="I7" s="7">
        <v>19</v>
      </c>
      <c r="J7" s="7">
        <f t="shared" si="1"/>
        <v>63</v>
      </c>
      <c r="K7" s="7">
        <f t="shared" si="2"/>
        <v>4</v>
      </c>
      <c r="L7" s="7" t="s">
        <v>14</v>
      </c>
    </row>
    <row r="8" ht="28" customHeight="1" spans="1:12">
      <c r="A8" s="7">
        <v>6</v>
      </c>
      <c r="B8" s="7" t="str">
        <f>"朱春瑾"</f>
        <v>朱春瑾</v>
      </c>
      <c r="C8" s="7" t="s">
        <v>321</v>
      </c>
      <c r="D8" s="8" t="str">
        <f t="shared" si="0"/>
        <v>生态环境分局-综合管理岗（高新）</v>
      </c>
      <c r="E8" s="7" t="str">
        <f>"202408240813"</f>
        <v>202408240813</v>
      </c>
      <c r="F8" s="7">
        <v>8</v>
      </c>
      <c r="G8" s="7">
        <v>13</v>
      </c>
      <c r="H8" s="7">
        <v>45</v>
      </c>
      <c r="I8" s="7">
        <v>14</v>
      </c>
      <c r="J8" s="7">
        <f t="shared" si="1"/>
        <v>59</v>
      </c>
      <c r="K8" s="7">
        <f t="shared" si="2"/>
        <v>6</v>
      </c>
      <c r="L8" s="7" t="s">
        <v>21</v>
      </c>
    </row>
    <row r="9" ht="28" customHeight="1" spans="1:12">
      <c r="A9" s="7">
        <v>7</v>
      </c>
      <c r="B9" s="7" t="str">
        <f>"邹煜鸿"</f>
        <v>邹煜鸿</v>
      </c>
      <c r="C9" s="7" t="s">
        <v>322</v>
      </c>
      <c r="D9" s="8" t="str">
        <f t="shared" si="0"/>
        <v>生态环境分局-综合管理岗（高新）</v>
      </c>
      <c r="E9" s="7" t="str">
        <f>"202408241401"</f>
        <v>202408241401</v>
      </c>
      <c r="F9" s="7">
        <v>14</v>
      </c>
      <c r="G9" s="7">
        <v>1</v>
      </c>
      <c r="H9" s="7">
        <v>40</v>
      </c>
      <c r="I9" s="7">
        <v>18</v>
      </c>
      <c r="J9" s="7">
        <f t="shared" si="1"/>
        <v>58</v>
      </c>
      <c r="K9" s="7">
        <f t="shared" si="2"/>
        <v>7</v>
      </c>
      <c r="L9" s="7" t="s">
        <v>21</v>
      </c>
    </row>
    <row r="10" ht="28" customHeight="1" spans="1:12">
      <c r="A10" s="7">
        <v>8</v>
      </c>
      <c r="B10" s="7" t="str">
        <f>"杨棋薇"</f>
        <v>杨棋薇</v>
      </c>
      <c r="C10" s="7" t="s">
        <v>323</v>
      </c>
      <c r="D10" s="8" t="str">
        <f t="shared" si="0"/>
        <v>生态环境分局-综合管理岗（高新）</v>
      </c>
      <c r="E10" s="7" t="str">
        <f>"202408241421"</f>
        <v>202408241421</v>
      </c>
      <c r="F10" s="7">
        <v>14</v>
      </c>
      <c r="G10" s="7">
        <v>21</v>
      </c>
      <c r="H10" s="7">
        <v>43</v>
      </c>
      <c r="I10" s="7">
        <v>13</v>
      </c>
      <c r="J10" s="7">
        <f t="shared" si="1"/>
        <v>56</v>
      </c>
      <c r="K10" s="7">
        <f t="shared" si="2"/>
        <v>8</v>
      </c>
      <c r="L10" s="7" t="s">
        <v>21</v>
      </c>
    </row>
    <row r="11" ht="28" customHeight="1" spans="1:12">
      <c r="A11" s="7">
        <v>9</v>
      </c>
      <c r="B11" s="7" t="str">
        <f>"焦建树"</f>
        <v>焦建树</v>
      </c>
      <c r="C11" s="7" t="s">
        <v>324</v>
      </c>
      <c r="D11" s="8" t="str">
        <f t="shared" si="0"/>
        <v>生态环境分局-综合管理岗（高新）</v>
      </c>
      <c r="E11" s="7" t="str">
        <f>"202408240624"</f>
        <v>202408240624</v>
      </c>
      <c r="F11" s="7">
        <v>6</v>
      </c>
      <c r="G11" s="7">
        <v>24</v>
      </c>
      <c r="H11" s="7">
        <v>39</v>
      </c>
      <c r="I11" s="7">
        <v>15</v>
      </c>
      <c r="J11" s="7">
        <f t="shared" si="1"/>
        <v>54</v>
      </c>
      <c r="K11" s="7">
        <f t="shared" si="2"/>
        <v>9</v>
      </c>
      <c r="L11" s="7" t="s">
        <v>21</v>
      </c>
    </row>
    <row r="12" ht="28" customHeight="1" spans="1:12">
      <c r="A12" s="7">
        <v>10</v>
      </c>
      <c r="B12" s="7" t="str">
        <f>"董晓宇"</f>
        <v>董晓宇</v>
      </c>
      <c r="C12" s="7" t="s">
        <v>325</v>
      </c>
      <c r="D12" s="8" t="str">
        <f t="shared" si="0"/>
        <v>生态环境分局-综合管理岗（高新）</v>
      </c>
      <c r="E12" s="7" t="str">
        <f>"202408240413"</f>
        <v>202408240413</v>
      </c>
      <c r="F12" s="7">
        <v>4</v>
      </c>
      <c r="G12" s="7">
        <v>13</v>
      </c>
      <c r="H12" s="7">
        <v>40</v>
      </c>
      <c r="I12" s="7">
        <v>13</v>
      </c>
      <c r="J12" s="7">
        <f t="shared" si="1"/>
        <v>53</v>
      </c>
      <c r="K12" s="7">
        <f t="shared" si="2"/>
        <v>10</v>
      </c>
      <c r="L12" s="7" t="s">
        <v>21</v>
      </c>
    </row>
    <row r="13" ht="28" customHeight="1" spans="1:12">
      <c r="A13" s="7">
        <v>11</v>
      </c>
      <c r="B13" s="7" t="str">
        <f>"梁小琴"</f>
        <v>梁小琴</v>
      </c>
      <c r="C13" s="7" t="s">
        <v>326</v>
      </c>
      <c r="D13" s="8" t="str">
        <f t="shared" si="0"/>
        <v>生态环境分局-综合管理岗（高新）</v>
      </c>
      <c r="E13" s="7" t="str">
        <f>"202408240521"</f>
        <v>202408240521</v>
      </c>
      <c r="F13" s="7">
        <v>5</v>
      </c>
      <c r="G13" s="7">
        <v>21</v>
      </c>
      <c r="H13" s="7">
        <v>40</v>
      </c>
      <c r="I13" s="7">
        <v>13</v>
      </c>
      <c r="J13" s="7">
        <f t="shared" si="1"/>
        <v>53</v>
      </c>
      <c r="K13" s="7">
        <f t="shared" si="2"/>
        <v>10</v>
      </c>
      <c r="L13" s="7" t="s">
        <v>21</v>
      </c>
    </row>
    <row r="14" ht="28" customHeight="1" spans="1:12">
      <c r="A14" s="7">
        <v>12</v>
      </c>
      <c r="B14" s="7" t="str">
        <f>"赵志鹏"</f>
        <v>赵志鹏</v>
      </c>
      <c r="C14" s="7" t="s">
        <v>327</v>
      </c>
      <c r="D14" s="8" t="str">
        <f t="shared" si="0"/>
        <v>生态环境分局-综合管理岗（高新）</v>
      </c>
      <c r="E14" s="7" t="str">
        <f>"202408240739"</f>
        <v>202408240739</v>
      </c>
      <c r="F14" s="7">
        <v>7</v>
      </c>
      <c r="G14" s="7">
        <v>39</v>
      </c>
      <c r="H14" s="7">
        <v>37</v>
      </c>
      <c r="I14" s="7">
        <v>13</v>
      </c>
      <c r="J14" s="7">
        <f t="shared" si="1"/>
        <v>50</v>
      </c>
      <c r="K14" s="7">
        <f t="shared" si="2"/>
        <v>12</v>
      </c>
      <c r="L14" s="7" t="s">
        <v>21</v>
      </c>
    </row>
    <row r="15" ht="28" customHeight="1" spans="1:12">
      <c r="A15" s="7">
        <v>13</v>
      </c>
      <c r="B15" s="7" t="str">
        <f>"申奋弘"</f>
        <v>申奋弘</v>
      </c>
      <c r="C15" s="7" t="s">
        <v>328</v>
      </c>
      <c r="D15" s="8" t="str">
        <f t="shared" si="0"/>
        <v>生态环境分局-综合管理岗（高新）</v>
      </c>
      <c r="E15" s="7" t="str">
        <f>"202408240636"</f>
        <v>202408240636</v>
      </c>
      <c r="F15" s="7">
        <v>6</v>
      </c>
      <c r="G15" s="7">
        <v>36</v>
      </c>
      <c r="H15" s="7">
        <v>38</v>
      </c>
      <c r="I15" s="7">
        <v>11</v>
      </c>
      <c r="J15" s="7">
        <f t="shared" si="1"/>
        <v>49</v>
      </c>
      <c r="K15" s="7">
        <f t="shared" si="2"/>
        <v>13</v>
      </c>
      <c r="L15" s="7" t="s">
        <v>21</v>
      </c>
    </row>
    <row r="16" ht="28" customHeight="1" spans="1:12">
      <c r="A16" s="7">
        <v>14</v>
      </c>
      <c r="B16" s="7" t="str">
        <f>"易昆"</f>
        <v>易昆</v>
      </c>
      <c r="C16" s="7" t="s">
        <v>329</v>
      </c>
      <c r="D16" s="8" t="str">
        <f t="shared" si="0"/>
        <v>生态环境分局-综合管理岗（高新）</v>
      </c>
      <c r="E16" s="7" t="str">
        <f>"202408240735"</f>
        <v>202408240735</v>
      </c>
      <c r="F16" s="7">
        <v>7</v>
      </c>
      <c r="G16" s="7">
        <v>35</v>
      </c>
      <c r="H16" s="7">
        <v>38</v>
      </c>
      <c r="I16" s="7">
        <v>10</v>
      </c>
      <c r="J16" s="7">
        <f t="shared" si="1"/>
        <v>48</v>
      </c>
      <c r="K16" s="7">
        <f t="shared" si="2"/>
        <v>14</v>
      </c>
      <c r="L16" s="7" t="s">
        <v>21</v>
      </c>
    </row>
    <row r="17" ht="28" customHeight="1" spans="1:12">
      <c r="A17" s="7">
        <v>15</v>
      </c>
      <c r="B17" s="7" t="str">
        <f>"刘舸帆"</f>
        <v>刘舸帆</v>
      </c>
      <c r="C17" s="7" t="s">
        <v>330</v>
      </c>
      <c r="D17" s="8" t="str">
        <f t="shared" si="0"/>
        <v>生态环境分局-综合管理岗（高新）</v>
      </c>
      <c r="E17" s="7" t="str">
        <f>"202408240430"</f>
        <v>202408240430</v>
      </c>
      <c r="F17" s="7">
        <v>4</v>
      </c>
      <c r="G17" s="7">
        <v>30</v>
      </c>
      <c r="H17" s="7">
        <v>38</v>
      </c>
      <c r="I17" s="7">
        <v>8</v>
      </c>
      <c r="J17" s="7">
        <f t="shared" si="1"/>
        <v>46</v>
      </c>
      <c r="K17" s="7">
        <f t="shared" si="2"/>
        <v>15</v>
      </c>
      <c r="L17" s="7" t="s">
        <v>21</v>
      </c>
    </row>
    <row r="18" ht="28" customHeight="1" spans="1:12">
      <c r="A18" s="7">
        <v>16</v>
      </c>
      <c r="B18" s="7" t="str">
        <f>"刘夏"</f>
        <v>刘夏</v>
      </c>
      <c r="C18" s="7" t="s">
        <v>331</v>
      </c>
      <c r="D18" s="8" t="str">
        <f t="shared" si="0"/>
        <v>生态环境分局-综合管理岗（高新）</v>
      </c>
      <c r="E18" s="7" t="str">
        <f>"202408240914"</f>
        <v>202408240914</v>
      </c>
      <c r="F18" s="7">
        <v>9</v>
      </c>
      <c r="G18" s="7">
        <v>14</v>
      </c>
      <c r="H18" s="7">
        <v>38</v>
      </c>
      <c r="I18" s="7">
        <v>7</v>
      </c>
      <c r="J18" s="7">
        <f t="shared" si="1"/>
        <v>45</v>
      </c>
      <c r="K18" s="7">
        <f t="shared" si="2"/>
        <v>16</v>
      </c>
      <c r="L18" s="7" t="s">
        <v>21</v>
      </c>
    </row>
    <row r="19" ht="28" customHeight="1" spans="1:12">
      <c r="A19" s="7">
        <v>17</v>
      </c>
      <c r="B19" s="7" t="str">
        <f>"郑斌"</f>
        <v>郑斌</v>
      </c>
      <c r="C19" s="7" t="s">
        <v>332</v>
      </c>
      <c r="D19" s="8" t="str">
        <f t="shared" si="0"/>
        <v>生态环境分局-综合管理岗（高新）</v>
      </c>
      <c r="E19" s="7" t="str">
        <f>"202408240634"</f>
        <v>202408240634</v>
      </c>
      <c r="F19" s="7">
        <v>6</v>
      </c>
      <c r="G19" s="7">
        <v>34</v>
      </c>
      <c r="H19" s="7">
        <v>36</v>
      </c>
      <c r="I19" s="7">
        <v>8</v>
      </c>
      <c r="J19" s="7">
        <f t="shared" si="1"/>
        <v>44</v>
      </c>
      <c r="K19" s="7">
        <f t="shared" si="2"/>
        <v>17</v>
      </c>
      <c r="L19" s="7" t="s">
        <v>21</v>
      </c>
    </row>
    <row r="20" ht="28" customHeight="1" spans="1:12">
      <c r="A20" s="7">
        <v>18</v>
      </c>
      <c r="B20" s="7" t="str">
        <f>"黄鑫"</f>
        <v>黄鑫</v>
      </c>
      <c r="C20" s="7" t="s">
        <v>333</v>
      </c>
      <c r="D20" s="8" t="str">
        <f t="shared" si="0"/>
        <v>生态环境分局-综合管理岗（高新）</v>
      </c>
      <c r="E20" s="7" t="str">
        <f>"202408240910"</f>
        <v>202408240910</v>
      </c>
      <c r="F20" s="7">
        <v>9</v>
      </c>
      <c r="G20" s="7">
        <v>10</v>
      </c>
      <c r="H20" s="7">
        <v>33</v>
      </c>
      <c r="I20" s="7">
        <v>8</v>
      </c>
      <c r="J20" s="7">
        <f t="shared" si="1"/>
        <v>41</v>
      </c>
      <c r="K20" s="7">
        <f t="shared" si="2"/>
        <v>18</v>
      </c>
      <c r="L20" s="7" t="s">
        <v>21</v>
      </c>
    </row>
    <row r="21" ht="28" customHeight="1" spans="1:12">
      <c r="A21" s="7">
        <v>19</v>
      </c>
      <c r="B21" s="7" t="str">
        <f>"何彪"</f>
        <v>何彪</v>
      </c>
      <c r="C21" s="7" t="s">
        <v>334</v>
      </c>
      <c r="D21" s="8" t="str">
        <f t="shared" si="0"/>
        <v>生态环境分局-综合管理岗（高新）</v>
      </c>
      <c r="E21" s="7" t="str">
        <f>"202408240402"</f>
        <v>202408240402</v>
      </c>
      <c r="F21" s="7">
        <v>4</v>
      </c>
      <c r="G21" s="7">
        <v>2</v>
      </c>
      <c r="H21" s="7">
        <v>0</v>
      </c>
      <c r="I21" s="7">
        <v>0</v>
      </c>
      <c r="J21" s="7" t="s">
        <v>20</v>
      </c>
      <c r="K21" s="7"/>
      <c r="L21" s="7" t="s">
        <v>21</v>
      </c>
    </row>
    <row r="22" ht="28" customHeight="1" spans="1:12">
      <c r="A22" s="7">
        <v>20</v>
      </c>
      <c r="B22" s="7" t="str">
        <f>"王海英"</f>
        <v>王海英</v>
      </c>
      <c r="C22" s="7" t="s">
        <v>335</v>
      </c>
      <c r="D22" s="8" t="str">
        <f t="shared" si="0"/>
        <v>生态环境分局-综合管理岗（高新）</v>
      </c>
      <c r="E22" s="7" t="str">
        <f>"202408240412"</f>
        <v>202408240412</v>
      </c>
      <c r="F22" s="7">
        <v>4</v>
      </c>
      <c r="G22" s="7">
        <v>12</v>
      </c>
      <c r="H22" s="7">
        <v>0</v>
      </c>
      <c r="I22" s="7">
        <v>0</v>
      </c>
      <c r="J22" s="7" t="s">
        <v>20</v>
      </c>
      <c r="K22" s="7"/>
      <c r="L22" s="7" t="s">
        <v>21</v>
      </c>
    </row>
    <row r="23" ht="28" customHeight="1" spans="1:12">
      <c r="A23" s="7">
        <v>21</v>
      </c>
      <c r="B23" s="7" t="str">
        <f>"邱珈庆"</f>
        <v>邱珈庆</v>
      </c>
      <c r="C23" s="7" t="s">
        <v>336</v>
      </c>
      <c r="D23" s="8" t="str">
        <f t="shared" si="0"/>
        <v>生态环境分局-综合管理岗（高新）</v>
      </c>
      <c r="E23" s="7" t="str">
        <f>"202408240414"</f>
        <v>202408240414</v>
      </c>
      <c r="F23" s="7">
        <v>4</v>
      </c>
      <c r="G23" s="7">
        <v>14</v>
      </c>
      <c r="H23" s="7">
        <v>0</v>
      </c>
      <c r="I23" s="7">
        <v>0</v>
      </c>
      <c r="J23" s="7" t="s">
        <v>20</v>
      </c>
      <c r="K23" s="7"/>
      <c r="L23" s="7" t="s">
        <v>21</v>
      </c>
    </row>
    <row r="24" ht="28" customHeight="1" spans="1:12">
      <c r="A24" s="7">
        <v>22</v>
      </c>
      <c r="B24" s="7" t="str">
        <f>"何雪梅"</f>
        <v>何雪梅</v>
      </c>
      <c r="C24" s="7" t="s">
        <v>337</v>
      </c>
      <c r="D24" s="8" t="str">
        <f t="shared" si="0"/>
        <v>生态环境分局-综合管理岗（高新）</v>
      </c>
      <c r="E24" s="7" t="str">
        <f>"202408240416"</f>
        <v>202408240416</v>
      </c>
      <c r="F24" s="7">
        <v>4</v>
      </c>
      <c r="G24" s="7">
        <v>16</v>
      </c>
      <c r="H24" s="7">
        <v>0</v>
      </c>
      <c r="I24" s="7">
        <v>0</v>
      </c>
      <c r="J24" s="7" t="s">
        <v>20</v>
      </c>
      <c r="K24" s="7"/>
      <c r="L24" s="7" t="s">
        <v>21</v>
      </c>
    </row>
    <row r="25" ht="28" customHeight="1" spans="1:12">
      <c r="A25" s="7">
        <v>23</v>
      </c>
      <c r="B25" s="7" t="str">
        <f>"吴智文"</f>
        <v>吴智文</v>
      </c>
      <c r="C25" s="7" t="s">
        <v>338</v>
      </c>
      <c r="D25" s="8" t="str">
        <f t="shared" si="0"/>
        <v>生态环境分局-综合管理岗（高新）</v>
      </c>
      <c r="E25" s="7" t="str">
        <f>"202408240433"</f>
        <v>202408240433</v>
      </c>
      <c r="F25" s="7">
        <v>4</v>
      </c>
      <c r="G25" s="7">
        <v>33</v>
      </c>
      <c r="H25" s="7">
        <v>0</v>
      </c>
      <c r="I25" s="7">
        <v>0</v>
      </c>
      <c r="J25" s="7" t="s">
        <v>20</v>
      </c>
      <c r="K25" s="7"/>
      <c r="L25" s="7" t="s">
        <v>21</v>
      </c>
    </row>
    <row r="26" ht="28" customHeight="1" spans="1:12">
      <c r="A26" s="7">
        <v>24</v>
      </c>
      <c r="B26" s="7" t="str">
        <f>"杨晨程"</f>
        <v>杨晨程</v>
      </c>
      <c r="C26" s="7" t="s">
        <v>339</v>
      </c>
      <c r="D26" s="8" t="str">
        <f t="shared" si="0"/>
        <v>生态环境分局-综合管理岗（高新）</v>
      </c>
      <c r="E26" s="7" t="str">
        <f>"202408240438"</f>
        <v>202408240438</v>
      </c>
      <c r="F26" s="7">
        <v>4</v>
      </c>
      <c r="G26" s="7">
        <v>38</v>
      </c>
      <c r="H26" s="7">
        <v>0</v>
      </c>
      <c r="I26" s="7">
        <v>0</v>
      </c>
      <c r="J26" s="7" t="s">
        <v>20</v>
      </c>
      <c r="K26" s="7"/>
      <c r="L26" s="7" t="s">
        <v>21</v>
      </c>
    </row>
    <row r="27" ht="28" customHeight="1" spans="1:12">
      <c r="A27" s="7">
        <v>25</v>
      </c>
      <c r="B27" s="7" t="str">
        <f>"代锦伶"</f>
        <v>代锦伶</v>
      </c>
      <c r="C27" s="7" t="s">
        <v>340</v>
      </c>
      <c r="D27" s="8" t="str">
        <f t="shared" si="0"/>
        <v>生态环境分局-综合管理岗（高新）</v>
      </c>
      <c r="E27" s="7" t="str">
        <f>"202408240620"</f>
        <v>202408240620</v>
      </c>
      <c r="F27" s="7">
        <v>6</v>
      </c>
      <c r="G27" s="7">
        <v>20</v>
      </c>
      <c r="H27" s="7">
        <v>0</v>
      </c>
      <c r="I27" s="7">
        <v>0</v>
      </c>
      <c r="J27" s="7" t="s">
        <v>20</v>
      </c>
      <c r="K27" s="7"/>
      <c r="L27" s="7" t="s">
        <v>21</v>
      </c>
    </row>
    <row r="28" ht="28" customHeight="1" spans="1:12">
      <c r="A28" s="7">
        <v>26</v>
      </c>
      <c r="B28" s="7" t="str">
        <f>"曹凯"</f>
        <v>曹凯</v>
      </c>
      <c r="C28" s="7" t="s">
        <v>341</v>
      </c>
      <c r="D28" s="8" t="str">
        <f t="shared" si="0"/>
        <v>生态环境分局-综合管理岗（高新）</v>
      </c>
      <c r="E28" s="7" t="str">
        <f>"202408240706"</f>
        <v>202408240706</v>
      </c>
      <c r="F28" s="7">
        <v>7</v>
      </c>
      <c r="G28" s="7">
        <v>6</v>
      </c>
      <c r="H28" s="7">
        <v>0</v>
      </c>
      <c r="I28" s="7">
        <v>0</v>
      </c>
      <c r="J28" s="7" t="s">
        <v>20</v>
      </c>
      <c r="K28" s="7"/>
      <c r="L28" s="7" t="s">
        <v>21</v>
      </c>
    </row>
    <row r="29" ht="28" customHeight="1" spans="1:12">
      <c r="A29" s="7">
        <v>27</v>
      </c>
      <c r="B29" s="7" t="str">
        <f>"叶佳丽"</f>
        <v>叶佳丽</v>
      </c>
      <c r="C29" s="7" t="s">
        <v>342</v>
      </c>
      <c r="D29" s="8" t="str">
        <f t="shared" si="0"/>
        <v>生态环境分局-综合管理岗（高新）</v>
      </c>
      <c r="E29" s="7" t="str">
        <f>"202408240932"</f>
        <v>202408240932</v>
      </c>
      <c r="F29" s="7">
        <v>9</v>
      </c>
      <c r="G29" s="7">
        <v>32</v>
      </c>
      <c r="H29" s="7">
        <v>0</v>
      </c>
      <c r="I29" s="7">
        <v>0</v>
      </c>
      <c r="J29" s="7" t="s">
        <v>20</v>
      </c>
      <c r="K29" s="7"/>
      <c r="L29" s="7" t="s">
        <v>21</v>
      </c>
    </row>
    <row r="30" ht="28" customHeight="1" spans="1:12">
      <c r="A30" s="7">
        <v>28</v>
      </c>
      <c r="B30" s="7" t="str">
        <f>"郭佳莹"</f>
        <v>郭佳莹</v>
      </c>
      <c r="C30" s="7" t="s">
        <v>343</v>
      </c>
      <c r="D30" s="8" t="str">
        <f t="shared" si="0"/>
        <v>生态环境分局-综合管理岗（高新）</v>
      </c>
      <c r="E30" s="7" t="str">
        <f>"202408240937"</f>
        <v>202408240937</v>
      </c>
      <c r="F30" s="7">
        <v>9</v>
      </c>
      <c r="G30" s="7">
        <v>37</v>
      </c>
      <c r="H30" s="7">
        <v>0</v>
      </c>
      <c r="I30" s="7">
        <v>0</v>
      </c>
      <c r="J30" s="7" t="s">
        <v>20</v>
      </c>
      <c r="K30" s="7"/>
      <c r="L30" s="7" t="s">
        <v>21</v>
      </c>
    </row>
    <row r="31" ht="28" customHeight="1" spans="1:12">
      <c r="A31" s="7">
        <v>29</v>
      </c>
      <c r="B31" s="7" t="str">
        <f>"杨峰"</f>
        <v>杨峰</v>
      </c>
      <c r="C31" s="7" t="s">
        <v>344</v>
      </c>
      <c r="D31" s="8" t="str">
        <f t="shared" si="0"/>
        <v>生态环境分局-综合管理岗（高新）</v>
      </c>
      <c r="E31" s="7" t="str">
        <f>"202408241420"</f>
        <v>202408241420</v>
      </c>
      <c r="F31" s="7">
        <v>14</v>
      </c>
      <c r="G31" s="7">
        <v>20</v>
      </c>
      <c r="H31" s="7">
        <v>0</v>
      </c>
      <c r="I31" s="7">
        <v>0</v>
      </c>
      <c r="J31" s="7" t="s">
        <v>20</v>
      </c>
      <c r="K31" s="7"/>
      <c r="L31" s="7" t="s">
        <v>21</v>
      </c>
    </row>
    <row r="32" s="1" customFormat="1" ht="28" customHeight="1" spans="1:12">
      <c r="A32" s="7">
        <v>30</v>
      </c>
      <c r="B32" s="7" t="str">
        <f>"朱吉"</f>
        <v>朱吉</v>
      </c>
      <c r="C32" s="7" t="s">
        <v>345</v>
      </c>
      <c r="D32" s="8" t="str">
        <f t="shared" si="0"/>
        <v>生态环境分局-综合管理岗（高新）</v>
      </c>
      <c r="E32" s="7" t="str">
        <f>"202408240101"</f>
        <v>202408240101</v>
      </c>
      <c r="F32" s="7">
        <v>1</v>
      </c>
      <c r="G32" s="7">
        <v>1</v>
      </c>
      <c r="H32" s="7">
        <v>0</v>
      </c>
      <c r="I32" s="7">
        <v>0</v>
      </c>
      <c r="J32" s="7" t="s">
        <v>20</v>
      </c>
      <c r="K32" s="7"/>
      <c r="L32" s="7" t="s">
        <v>21</v>
      </c>
    </row>
    <row r="33" ht="28" customHeight="1" spans="1:12">
      <c r="A33" s="7">
        <v>31</v>
      </c>
      <c r="B33" s="7" t="str">
        <f>"王力"</f>
        <v>王力</v>
      </c>
      <c r="C33" s="7" t="s">
        <v>346</v>
      </c>
      <c r="D33" s="8" t="str">
        <f t="shared" si="0"/>
        <v>生态环境分局-综合管理岗（高新）</v>
      </c>
      <c r="E33" s="7" t="str">
        <f>"202408240115"</f>
        <v>202408240115</v>
      </c>
      <c r="F33" s="7">
        <v>1</v>
      </c>
      <c r="G33" s="7">
        <v>15</v>
      </c>
      <c r="H33" s="7">
        <v>0</v>
      </c>
      <c r="I33" s="7">
        <v>0</v>
      </c>
      <c r="J33" s="7" t="s">
        <v>20</v>
      </c>
      <c r="K33" s="7"/>
      <c r="L33" s="7" t="s">
        <v>21</v>
      </c>
    </row>
    <row r="34" ht="28" customHeight="1" spans="1:12">
      <c r="A34" s="7">
        <v>32</v>
      </c>
      <c r="B34" s="7" t="str">
        <f>"徐佳栎"</f>
        <v>徐佳栎</v>
      </c>
      <c r="C34" s="7" t="s">
        <v>347</v>
      </c>
      <c r="D34" s="8" t="str">
        <f t="shared" si="0"/>
        <v>生态环境分局-综合管理岗（高新）</v>
      </c>
      <c r="E34" s="7" t="str">
        <f>"202408240126"</f>
        <v>202408240126</v>
      </c>
      <c r="F34" s="7">
        <v>1</v>
      </c>
      <c r="G34" s="7">
        <v>26</v>
      </c>
      <c r="H34" s="7">
        <v>0</v>
      </c>
      <c r="I34" s="7">
        <v>0</v>
      </c>
      <c r="J34" s="7" t="s">
        <v>20</v>
      </c>
      <c r="K34" s="7"/>
      <c r="L34" s="7" t="s">
        <v>21</v>
      </c>
    </row>
    <row r="35" ht="28" customHeight="1" spans="1:12">
      <c r="A35" s="7">
        <v>33</v>
      </c>
      <c r="B35" s="7" t="str">
        <f>"孟兰慧"</f>
        <v>孟兰慧</v>
      </c>
      <c r="C35" s="7" t="s">
        <v>348</v>
      </c>
      <c r="D35" s="8" t="str">
        <f t="shared" si="0"/>
        <v>生态环境分局-综合管理岗（高新）</v>
      </c>
      <c r="E35" s="7" t="str">
        <f>"202408240138"</f>
        <v>202408240138</v>
      </c>
      <c r="F35" s="7">
        <v>1</v>
      </c>
      <c r="G35" s="7">
        <v>38</v>
      </c>
      <c r="H35" s="7">
        <v>0</v>
      </c>
      <c r="I35" s="7">
        <v>0</v>
      </c>
      <c r="J35" s="7" t="s">
        <v>20</v>
      </c>
      <c r="K35" s="7"/>
      <c r="L35" s="7" t="s">
        <v>21</v>
      </c>
    </row>
    <row r="36" ht="28" customHeight="1" spans="1:12">
      <c r="A36" s="7">
        <v>34</v>
      </c>
      <c r="B36" s="7" t="str">
        <f>"贺小童"</f>
        <v>贺小童</v>
      </c>
      <c r="C36" s="7" t="s">
        <v>349</v>
      </c>
      <c r="D36" s="8" t="str">
        <f t="shared" si="0"/>
        <v>生态环境分局-综合管理岗（高新）</v>
      </c>
      <c r="E36" s="7" t="str">
        <f>"202408240315"</f>
        <v>202408240315</v>
      </c>
      <c r="F36" s="7">
        <v>3</v>
      </c>
      <c r="G36" s="7">
        <v>15</v>
      </c>
      <c r="H36" s="7">
        <v>0</v>
      </c>
      <c r="I36" s="7">
        <v>0</v>
      </c>
      <c r="J36" s="7" t="s">
        <v>20</v>
      </c>
      <c r="K36" s="7"/>
      <c r="L36" s="7" t="s">
        <v>21</v>
      </c>
    </row>
  </sheetData>
  <mergeCells count="1">
    <mergeCell ref="A1:L1"/>
  </mergeCells>
  <pageMargins left="0" right="0" top="0.751388888888889" bottom="0.751388888888889" header="0.298611111111111" footer="0.298611111111111"/>
  <pageSetup paperSize="9" scale="8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tabSelected="1" workbookViewId="0">
      <selection activeCell="O6" sqref="O6"/>
    </sheetView>
  </sheetViews>
  <sheetFormatPr defaultColWidth="9" defaultRowHeight="14.25"/>
  <cols>
    <col min="1" max="1" width="5.225" style="1" customWidth="1"/>
    <col min="2" max="2" width="9" style="1"/>
    <col min="3" max="3" width="19.7333333333333" style="1" customWidth="1"/>
    <col min="4" max="4" width="26.775" style="3" customWidth="1"/>
    <col min="5" max="5" width="13.775" style="1" customWidth="1"/>
    <col min="6" max="9" width="9" style="1" hidden="1" customWidth="1"/>
    <col min="10" max="10" width="8.5" style="1" customWidth="1"/>
    <col min="11" max="11" width="6.10833333333333" style="1" customWidth="1"/>
    <col min="12" max="12" width="17.875" style="1" customWidth="1"/>
    <col min="13" max="13" width="23.8916666666667" style="1" customWidth="1"/>
    <col min="14" max="16384" width="9" style="1"/>
  </cols>
  <sheetData>
    <row r="1" s="1" customFormat="1" ht="99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32" customHeight="1" spans="1:1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9" t="s">
        <v>10</v>
      </c>
      <c r="K2" s="5" t="s">
        <v>11</v>
      </c>
      <c r="L2" s="9" t="s">
        <v>12</v>
      </c>
    </row>
    <row r="3" ht="27" customHeight="1" spans="1:12">
      <c r="A3" s="7">
        <v>1</v>
      </c>
      <c r="B3" s="7" t="str">
        <f>"钟可欣"</f>
        <v>钟可欣</v>
      </c>
      <c r="C3" s="7" t="s">
        <v>350</v>
      </c>
      <c r="D3" s="8" t="str">
        <f t="shared" ref="D3:D9" si="0">"投促局-招商引资岗（高新）"</f>
        <v>投促局-招商引资岗（高新）</v>
      </c>
      <c r="E3" s="7" t="str">
        <f>"202408240427"</f>
        <v>202408240427</v>
      </c>
      <c r="F3" s="7">
        <v>4</v>
      </c>
      <c r="G3" s="7">
        <v>27</v>
      </c>
      <c r="H3" s="7">
        <v>47</v>
      </c>
      <c r="I3" s="7">
        <v>22</v>
      </c>
      <c r="J3" s="7">
        <f>H3+I3</f>
        <v>69</v>
      </c>
      <c r="K3" s="7">
        <f>RANK(J3,J:J,0)</f>
        <v>1</v>
      </c>
      <c r="L3" s="7" t="s">
        <v>14</v>
      </c>
    </row>
    <row r="4" ht="27" customHeight="1" spans="1:12">
      <c r="A4" s="7">
        <v>2</v>
      </c>
      <c r="B4" s="7" t="str">
        <f>"刘力源"</f>
        <v>刘力源</v>
      </c>
      <c r="C4" s="7" t="s">
        <v>351</v>
      </c>
      <c r="D4" s="8" t="str">
        <f t="shared" si="0"/>
        <v>投促局-招商引资岗（高新）</v>
      </c>
      <c r="E4" s="7" t="str">
        <f>"202408240730"</f>
        <v>202408240730</v>
      </c>
      <c r="F4" s="7">
        <v>7</v>
      </c>
      <c r="G4" s="7">
        <v>30</v>
      </c>
      <c r="H4" s="7">
        <v>47</v>
      </c>
      <c r="I4" s="7">
        <v>16</v>
      </c>
      <c r="J4" s="7">
        <f t="shared" ref="J4:J31" si="1">H4+I4</f>
        <v>63</v>
      </c>
      <c r="K4" s="7">
        <f t="shared" ref="K4:K31" si="2">RANK(J4,J:J,0)</f>
        <v>2</v>
      </c>
      <c r="L4" s="7" t="s">
        <v>14</v>
      </c>
    </row>
    <row r="5" ht="27" customHeight="1" spans="1:12">
      <c r="A5" s="7">
        <v>3</v>
      </c>
      <c r="B5" s="7" t="str">
        <f>"陈东琪"</f>
        <v>陈东琪</v>
      </c>
      <c r="C5" s="7" t="s">
        <v>352</v>
      </c>
      <c r="D5" s="8" t="str">
        <f t="shared" si="0"/>
        <v>投促局-招商引资岗（高新）</v>
      </c>
      <c r="E5" s="7" t="str">
        <f>"202408241422"</f>
        <v>202408241422</v>
      </c>
      <c r="F5" s="7">
        <v>14</v>
      </c>
      <c r="G5" s="7">
        <v>22</v>
      </c>
      <c r="H5" s="7">
        <v>39</v>
      </c>
      <c r="I5" s="7">
        <v>21</v>
      </c>
      <c r="J5" s="7">
        <f t="shared" si="1"/>
        <v>60</v>
      </c>
      <c r="K5" s="7">
        <f t="shared" si="2"/>
        <v>3</v>
      </c>
      <c r="L5" s="7" t="s">
        <v>14</v>
      </c>
    </row>
    <row r="6" ht="27" customHeight="1" spans="1:12">
      <c r="A6" s="7">
        <v>4</v>
      </c>
      <c r="B6" s="7" t="str">
        <f>"廖治宾"</f>
        <v>廖治宾</v>
      </c>
      <c r="C6" s="7" t="s">
        <v>353</v>
      </c>
      <c r="D6" s="8" t="str">
        <f t="shared" si="0"/>
        <v>投促局-招商引资岗（高新）</v>
      </c>
      <c r="E6" s="7" t="str">
        <f>"202408240806"</f>
        <v>202408240806</v>
      </c>
      <c r="F6" s="7">
        <v>8</v>
      </c>
      <c r="G6" s="7">
        <v>6</v>
      </c>
      <c r="H6" s="7">
        <v>44</v>
      </c>
      <c r="I6" s="7">
        <v>13</v>
      </c>
      <c r="J6" s="7">
        <f t="shared" si="1"/>
        <v>57</v>
      </c>
      <c r="K6" s="7">
        <f t="shared" si="2"/>
        <v>4</v>
      </c>
      <c r="L6" s="7" t="s">
        <v>14</v>
      </c>
    </row>
    <row r="7" ht="27" customHeight="1" spans="1:12">
      <c r="A7" s="7">
        <v>5</v>
      </c>
      <c r="B7" s="7" t="str">
        <f>"王婷"</f>
        <v>王婷</v>
      </c>
      <c r="C7" s="7" t="s">
        <v>354</v>
      </c>
      <c r="D7" s="8" t="str">
        <f t="shared" si="0"/>
        <v>投促局-招商引资岗（高新）</v>
      </c>
      <c r="E7" s="7" t="str">
        <f>"202408240512"</f>
        <v>202408240512</v>
      </c>
      <c r="F7" s="7">
        <v>5</v>
      </c>
      <c r="G7" s="7">
        <v>12</v>
      </c>
      <c r="H7" s="7">
        <v>36</v>
      </c>
      <c r="I7" s="7">
        <v>18</v>
      </c>
      <c r="J7" s="7">
        <f t="shared" si="1"/>
        <v>54</v>
      </c>
      <c r="K7" s="7">
        <f t="shared" si="2"/>
        <v>5</v>
      </c>
      <c r="L7" s="7" t="s">
        <v>14</v>
      </c>
    </row>
    <row r="8" ht="27" customHeight="1" spans="1:12">
      <c r="A8" s="7">
        <v>6</v>
      </c>
      <c r="B8" s="7" t="str">
        <f>"黄汇胜"</f>
        <v>黄汇胜</v>
      </c>
      <c r="C8" s="7" t="s">
        <v>355</v>
      </c>
      <c r="D8" s="8" t="str">
        <f t="shared" si="0"/>
        <v>投促局-招商引资岗（高新）</v>
      </c>
      <c r="E8" s="7" t="str">
        <f>"202408240515"</f>
        <v>202408240515</v>
      </c>
      <c r="F8" s="7">
        <v>5</v>
      </c>
      <c r="G8" s="7">
        <v>15</v>
      </c>
      <c r="H8" s="7">
        <v>40</v>
      </c>
      <c r="I8" s="7">
        <v>13</v>
      </c>
      <c r="J8" s="7">
        <f t="shared" si="1"/>
        <v>53</v>
      </c>
      <c r="K8" s="7">
        <f t="shared" si="2"/>
        <v>6</v>
      </c>
      <c r="L8" s="7" t="s">
        <v>21</v>
      </c>
    </row>
    <row r="9" ht="27" customHeight="1" spans="1:12">
      <c r="A9" s="7">
        <v>7</v>
      </c>
      <c r="B9" s="7" t="str">
        <f>"董馨月"</f>
        <v>董馨月</v>
      </c>
      <c r="C9" s="7" t="s">
        <v>316</v>
      </c>
      <c r="D9" s="8" t="str">
        <f t="shared" si="0"/>
        <v>投促局-招商引资岗（高新）</v>
      </c>
      <c r="E9" s="7" t="str">
        <f>"202408240514"</f>
        <v>202408240514</v>
      </c>
      <c r="F9" s="7">
        <v>5</v>
      </c>
      <c r="G9" s="7">
        <v>14</v>
      </c>
      <c r="H9" s="7">
        <v>34</v>
      </c>
      <c r="I9" s="7">
        <v>18</v>
      </c>
      <c r="J9" s="7">
        <f t="shared" si="1"/>
        <v>52</v>
      </c>
      <c r="K9" s="7">
        <f t="shared" si="2"/>
        <v>7</v>
      </c>
      <c r="L9" s="7" t="s">
        <v>21</v>
      </c>
    </row>
    <row r="10" ht="27" customHeight="1" spans="1:12">
      <c r="A10" s="7">
        <v>8</v>
      </c>
      <c r="B10" s="7" t="str">
        <f>"张兆龙"</f>
        <v>张兆龙</v>
      </c>
      <c r="C10" s="7" t="s">
        <v>356</v>
      </c>
      <c r="D10" s="8" t="str">
        <f t="shared" ref="D10:D31" si="3">"投促局-招商引资岗（高新）"</f>
        <v>投促局-招商引资岗（高新）</v>
      </c>
      <c r="E10" s="7" t="str">
        <f>"202408240625"</f>
        <v>202408240625</v>
      </c>
      <c r="F10" s="7">
        <v>6</v>
      </c>
      <c r="G10" s="7">
        <v>25</v>
      </c>
      <c r="H10" s="7">
        <v>39</v>
      </c>
      <c r="I10" s="7">
        <v>11</v>
      </c>
      <c r="J10" s="7">
        <f t="shared" si="1"/>
        <v>50</v>
      </c>
      <c r="K10" s="7">
        <f t="shared" si="2"/>
        <v>8</v>
      </c>
      <c r="L10" s="7" t="s">
        <v>21</v>
      </c>
    </row>
    <row r="11" ht="27" customHeight="1" spans="1:12">
      <c r="A11" s="7">
        <v>9</v>
      </c>
      <c r="B11" s="7" t="str">
        <f>"王宇凡"</f>
        <v>王宇凡</v>
      </c>
      <c r="C11" s="7" t="s">
        <v>357</v>
      </c>
      <c r="D11" s="8" t="str">
        <f t="shared" si="3"/>
        <v>投促局-招商引资岗（高新）</v>
      </c>
      <c r="E11" s="7" t="str">
        <f>"202408240637"</f>
        <v>202408240637</v>
      </c>
      <c r="F11" s="7">
        <v>6</v>
      </c>
      <c r="G11" s="7">
        <v>37</v>
      </c>
      <c r="H11" s="7">
        <v>39</v>
      </c>
      <c r="I11" s="7">
        <v>11</v>
      </c>
      <c r="J11" s="7">
        <f t="shared" si="1"/>
        <v>50</v>
      </c>
      <c r="K11" s="7">
        <f t="shared" si="2"/>
        <v>8</v>
      </c>
      <c r="L11" s="7" t="s">
        <v>21</v>
      </c>
    </row>
    <row r="12" ht="27" customHeight="1" spans="1:12">
      <c r="A12" s="7">
        <v>10</v>
      </c>
      <c r="B12" s="7" t="str">
        <f>"刘佳"</f>
        <v>刘佳</v>
      </c>
      <c r="C12" s="7" t="s">
        <v>358</v>
      </c>
      <c r="D12" s="8" t="str">
        <f t="shared" si="3"/>
        <v>投促局-招商引资岗（高新）</v>
      </c>
      <c r="E12" s="7" t="str">
        <f>"202408240702"</f>
        <v>202408240702</v>
      </c>
      <c r="F12" s="7">
        <v>7</v>
      </c>
      <c r="G12" s="7">
        <v>2</v>
      </c>
      <c r="H12" s="7">
        <v>37</v>
      </c>
      <c r="I12" s="7">
        <v>11</v>
      </c>
      <c r="J12" s="7">
        <f t="shared" si="1"/>
        <v>48</v>
      </c>
      <c r="K12" s="7">
        <f t="shared" si="2"/>
        <v>10</v>
      </c>
      <c r="L12" s="7" t="s">
        <v>21</v>
      </c>
    </row>
    <row r="13" ht="27" customHeight="1" spans="1:12">
      <c r="A13" s="7">
        <v>11</v>
      </c>
      <c r="B13" s="7" t="str">
        <f>"余东昇"</f>
        <v>余东昇</v>
      </c>
      <c r="C13" s="7" t="s">
        <v>359</v>
      </c>
      <c r="D13" s="8" t="str">
        <f t="shared" si="3"/>
        <v>投促局-招商引资岗（高新）</v>
      </c>
      <c r="E13" s="7" t="str">
        <f>"202408240721"</f>
        <v>202408240721</v>
      </c>
      <c r="F13" s="7">
        <v>7</v>
      </c>
      <c r="G13" s="7">
        <v>21</v>
      </c>
      <c r="H13" s="7">
        <v>34</v>
      </c>
      <c r="I13" s="7">
        <v>13</v>
      </c>
      <c r="J13" s="7">
        <f t="shared" si="1"/>
        <v>47</v>
      </c>
      <c r="K13" s="7">
        <f t="shared" si="2"/>
        <v>11</v>
      </c>
      <c r="L13" s="7" t="s">
        <v>21</v>
      </c>
    </row>
    <row r="14" ht="27" customHeight="1" spans="1:12">
      <c r="A14" s="7">
        <v>12</v>
      </c>
      <c r="B14" s="7" t="str">
        <f>"范琦皓"</f>
        <v>范琦皓</v>
      </c>
      <c r="C14" s="7" t="s">
        <v>360</v>
      </c>
      <c r="D14" s="8" t="str">
        <f t="shared" si="3"/>
        <v>投促局-招商引资岗（高新）</v>
      </c>
      <c r="E14" s="7" t="str">
        <f>"202408240801"</f>
        <v>202408240801</v>
      </c>
      <c r="F14" s="7">
        <v>8</v>
      </c>
      <c r="G14" s="7">
        <v>1</v>
      </c>
      <c r="H14" s="7">
        <v>42</v>
      </c>
      <c r="I14" s="7">
        <v>0</v>
      </c>
      <c r="J14" s="7">
        <f t="shared" si="1"/>
        <v>42</v>
      </c>
      <c r="K14" s="7">
        <f t="shared" si="2"/>
        <v>12</v>
      </c>
      <c r="L14" s="7" t="s">
        <v>21</v>
      </c>
    </row>
    <row r="15" ht="27" customHeight="1" spans="1:12">
      <c r="A15" s="7">
        <v>13</v>
      </c>
      <c r="B15" s="7" t="str">
        <f>"李亚辉"</f>
        <v>李亚辉</v>
      </c>
      <c r="C15" s="7" t="s">
        <v>361</v>
      </c>
      <c r="D15" s="8" t="str">
        <f t="shared" si="3"/>
        <v>投促局-招商引资岗（高新）</v>
      </c>
      <c r="E15" s="7" t="str">
        <f>"202408240209"</f>
        <v>202408240209</v>
      </c>
      <c r="F15" s="7">
        <v>2</v>
      </c>
      <c r="G15" s="7">
        <v>9</v>
      </c>
      <c r="H15" s="7">
        <v>30</v>
      </c>
      <c r="I15" s="7">
        <v>10</v>
      </c>
      <c r="J15" s="7">
        <f t="shared" si="1"/>
        <v>40</v>
      </c>
      <c r="K15" s="7">
        <f t="shared" si="2"/>
        <v>13</v>
      </c>
      <c r="L15" s="7" t="s">
        <v>21</v>
      </c>
    </row>
    <row r="16" ht="27" customHeight="1" spans="1:12">
      <c r="A16" s="7">
        <v>14</v>
      </c>
      <c r="B16" s="7" t="str">
        <f>"任治宇"</f>
        <v>任治宇</v>
      </c>
      <c r="C16" s="7" t="s">
        <v>362</v>
      </c>
      <c r="D16" s="8" t="str">
        <f t="shared" si="3"/>
        <v>投促局-招商引资岗（高新）</v>
      </c>
      <c r="E16" s="7" t="str">
        <f>"202408240838"</f>
        <v>202408240838</v>
      </c>
      <c r="F16" s="7">
        <v>8</v>
      </c>
      <c r="G16" s="7">
        <v>38</v>
      </c>
      <c r="H16" s="7">
        <v>29</v>
      </c>
      <c r="I16" s="7">
        <v>11</v>
      </c>
      <c r="J16" s="7">
        <f t="shared" si="1"/>
        <v>40</v>
      </c>
      <c r="K16" s="7">
        <f t="shared" si="2"/>
        <v>13</v>
      </c>
      <c r="L16" s="7" t="s">
        <v>21</v>
      </c>
    </row>
    <row r="17" ht="27" customHeight="1" spans="1:12">
      <c r="A17" s="7">
        <v>15</v>
      </c>
      <c r="B17" s="7" t="str">
        <f>"宋彦璋"</f>
        <v>宋彦璋</v>
      </c>
      <c r="C17" s="7" t="s">
        <v>363</v>
      </c>
      <c r="D17" s="8" t="str">
        <f t="shared" si="3"/>
        <v>投促局-招商引资岗（高新）</v>
      </c>
      <c r="E17" s="7" t="str">
        <f>"202408240509"</f>
        <v>202408240509</v>
      </c>
      <c r="F17" s="7">
        <v>5</v>
      </c>
      <c r="G17" s="7">
        <v>9</v>
      </c>
      <c r="H17" s="7">
        <v>21</v>
      </c>
      <c r="I17" s="7">
        <v>13</v>
      </c>
      <c r="J17" s="7">
        <f t="shared" si="1"/>
        <v>34</v>
      </c>
      <c r="K17" s="7">
        <f t="shared" si="2"/>
        <v>15</v>
      </c>
      <c r="L17" s="7" t="s">
        <v>21</v>
      </c>
    </row>
    <row r="18" ht="27" customHeight="1" spans="1:12">
      <c r="A18" s="7">
        <v>16</v>
      </c>
      <c r="B18" s="7" t="str">
        <f>"董浩"</f>
        <v>董浩</v>
      </c>
      <c r="C18" s="7" t="s">
        <v>364</v>
      </c>
      <c r="D18" s="8" t="str">
        <f t="shared" si="3"/>
        <v>投促局-招商引资岗（高新）</v>
      </c>
      <c r="E18" s="7" t="str">
        <f>"202408240403"</f>
        <v>202408240403</v>
      </c>
      <c r="F18" s="7">
        <v>4</v>
      </c>
      <c r="G18" s="7">
        <v>3</v>
      </c>
      <c r="H18" s="7">
        <v>0</v>
      </c>
      <c r="I18" s="7">
        <v>0</v>
      </c>
      <c r="J18" s="7" t="s">
        <v>20</v>
      </c>
      <c r="K18" s="7"/>
      <c r="L18" s="7" t="s">
        <v>21</v>
      </c>
    </row>
    <row r="19" ht="27" customHeight="1" spans="1:12">
      <c r="A19" s="7">
        <v>17</v>
      </c>
      <c r="B19" s="7" t="str">
        <f>"王嘉琳"</f>
        <v>王嘉琳</v>
      </c>
      <c r="C19" s="7" t="s">
        <v>365</v>
      </c>
      <c r="D19" s="8" t="str">
        <f t="shared" si="3"/>
        <v>投促局-招商引资岗（高新）</v>
      </c>
      <c r="E19" s="7" t="str">
        <f>"202408240424"</f>
        <v>202408240424</v>
      </c>
      <c r="F19" s="7">
        <v>4</v>
      </c>
      <c r="G19" s="7">
        <v>24</v>
      </c>
      <c r="H19" s="7">
        <v>0</v>
      </c>
      <c r="I19" s="7">
        <v>0</v>
      </c>
      <c r="J19" s="7" t="s">
        <v>20</v>
      </c>
      <c r="K19" s="7"/>
      <c r="L19" s="7" t="s">
        <v>21</v>
      </c>
    </row>
    <row r="20" ht="27" customHeight="1" spans="1:12">
      <c r="A20" s="7">
        <v>18</v>
      </c>
      <c r="B20" s="7" t="str">
        <f>"徐松武"</f>
        <v>徐松武</v>
      </c>
      <c r="C20" s="7" t="s">
        <v>366</v>
      </c>
      <c r="D20" s="8" t="str">
        <f t="shared" si="3"/>
        <v>投促局-招商引资岗（高新）</v>
      </c>
      <c r="E20" s="7" t="str">
        <f>"202408240426"</f>
        <v>202408240426</v>
      </c>
      <c r="F20" s="7">
        <v>4</v>
      </c>
      <c r="G20" s="7">
        <v>26</v>
      </c>
      <c r="H20" s="7">
        <v>0</v>
      </c>
      <c r="I20" s="7">
        <v>0</v>
      </c>
      <c r="J20" s="7" t="s">
        <v>20</v>
      </c>
      <c r="K20" s="7"/>
      <c r="L20" s="7" t="s">
        <v>21</v>
      </c>
    </row>
    <row r="21" ht="27" customHeight="1" spans="1:12">
      <c r="A21" s="7">
        <v>19</v>
      </c>
      <c r="B21" s="7" t="str">
        <f>"陈治贤"</f>
        <v>陈治贤</v>
      </c>
      <c r="C21" s="7" t="s">
        <v>367</v>
      </c>
      <c r="D21" s="8" t="str">
        <f t="shared" si="3"/>
        <v>投促局-招商引资岗（高新）</v>
      </c>
      <c r="E21" s="7" t="str">
        <f>"202408240506"</f>
        <v>202408240506</v>
      </c>
      <c r="F21" s="7">
        <v>5</v>
      </c>
      <c r="G21" s="7">
        <v>6</v>
      </c>
      <c r="H21" s="7">
        <v>0</v>
      </c>
      <c r="I21" s="7">
        <v>0</v>
      </c>
      <c r="J21" s="7" t="s">
        <v>20</v>
      </c>
      <c r="K21" s="7"/>
      <c r="L21" s="7" t="s">
        <v>21</v>
      </c>
    </row>
    <row r="22" ht="27" customHeight="1" spans="1:12">
      <c r="A22" s="7">
        <v>20</v>
      </c>
      <c r="B22" s="7" t="str">
        <f>"谢海霞"</f>
        <v>谢海霞</v>
      </c>
      <c r="C22" s="7" t="s">
        <v>368</v>
      </c>
      <c r="D22" s="8" t="str">
        <f t="shared" si="3"/>
        <v>投促局-招商引资岗（高新）</v>
      </c>
      <c r="E22" s="7" t="str">
        <f>"202408240507"</f>
        <v>202408240507</v>
      </c>
      <c r="F22" s="7">
        <v>5</v>
      </c>
      <c r="G22" s="7">
        <v>7</v>
      </c>
      <c r="H22" s="7">
        <v>0</v>
      </c>
      <c r="I22" s="7">
        <v>0</v>
      </c>
      <c r="J22" s="7" t="s">
        <v>20</v>
      </c>
      <c r="K22" s="7"/>
      <c r="L22" s="7" t="s">
        <v>21</v>
      </c>
    </row>
    <row r="23" ht="27" customHeight="1" spans="1:12">
      <c r="A23" s="7">
        <v>21</v>
      </c>
      <c r="B23" s="7" t="str">
        <f>"方无忌"</f>
        <v>方无忌</v>
      </c>
      <c r="C23" s="7" t="s">
        <v>369</v>
      </c>
      <c r="D23" s="8" t="str">
        <f t="shared" si="3"/>
        <v>投促局-招商引资岗（高新）</v>
      </c>
      <c r="E23" s="7" t="str">
        <f>"202408240601"</f>
        <v>202408240601</v>
      </c>
      <c r="F23" s="7">
        <v>6</v>
      </c>
      <c r="G23" s="7">
        <v>1</v>
      </c>
      <c r="H23" s="7">
        <v>0</v>
      </c>
      <c r="I23" s="7">
        <v>0</v>
      </c>
      <c r="J23" s="7" t="s">
        <v>20</v>
      </c>
      <c r="K23" s="7"/>
      <c r="L23" s="7" t="s">
        <v>21</v>
      </c>
    </row>
    <row r="24" ht="27" customHeight="1" spans="1:12">
      <c r="A24" s="7">
        <v>22</v>
      </c>
      <c r="B24" s="7" t="str">
        <f>"李恬"</f>
        <v>李恬</v>
      </c>
      <c r="C24" s="7" t="s">
        <v>370</v>
      </c>
      <c r="D24" s="8" t="str">
        <f t="shared" si="3"/>
        <v>投促局-招商引资岗（高新）</v>
      </c>
      <c r="E24" s="7" t="str">
        <f>"202408240604"</f>
        <v>202408240604</v>
      </c>
      <c r="F24" s="7">
        <v>6</v>
      </c>
      <c r="G24" s="7">
        <v>4</v>
      </c>
      <c r="H24" s="7">
        <v>0</v>
      </c>
      <c r="I24" s="7">
        <v>0</v>
      </c>
      <c r="J24" s="7" t="s">
        <v>20</v>
      </c>
      <c r="K24" s="7"/>
      <c r="L24" s="7" t="s">
        <v>21</v>
      </c>
    </row>
    <row r="25" ht="27" customHeight="1" spans="1:12">
      <c r="A25" s="7">
        <v>23</v>
      </c>
      <c r="B25" s="7" t="str">
        <f>"王露"</f>
        <v>王露</v>
      </c>
      <c r="C25" s="7" t="s">
        <v>371</v>
      </c>
      <c r="D25" s="8" t="str">
        <f t="shared" si="3"/>
        <v>投促局-招商引资岗（高新）</v>
      </c>
      <c r="E25" s="7" t="str">
        <f>"202408240726"</f>
        <v>202408240726</v>
      </c>
      <c r="F25" s="7">
        <v>7</v>
      </c>
      <c r="G25" s="7">
        <v>26</v>
      </c>
      <c r="H25" s="7">
        <v>0</v>
      </c>
      <c r="I25" s="7">
        <v>0</v>
      </c>
      <c r="J25" s="7" t="s">
        <v>20</v>
      </c>
      <c r="K25" s="7"/>
      <c r="L25" s="7" t="s">
        <v>21</v>
      </c>
    </row>
    <row r="26" ht="27" customHeight="1" spans="1:12">
      <c r="A26" s="7">
        <v>24</v>
      </c>
      <c r="B26" s="7" t="str">
        <f>"刘耀徽"</f>
        <v>刘耀徽</v>
      </c>
      <c r="C26" s="7" t="s">
        <v>372</v>
      </c>
      <c r="D26" s="8" t="str">
        <f t="shared" si="3"/>
        <v>投促局-招商引资岗（高新）</v>
      </c>
      <c r="E26" s="7" t="str">
        <f>"202408240732"</f>
        <v>202408240732</v>
      </c>
      <c r="F26" s="7">
        <v>7</v>
      </c>
      <c r="G26" s="7">
        <v>32</v>
      </c>
      <c r="H26" s="7">
        <v>0</v>
      </c>
      <c r="I26" s="7">
        <v>0</v>
      </c>
      <c r="J26" s="7" t="s">
        <v>20</v>
      </c>
      <c r="K26" s="7"/>
      <c r="L26" s="7" t="s">
        <v>21</v>
      </c>
    </row>
    <row r="27" ht="27" customHeight="1" spans="1:12">
      <c r="A27" s="7">
        <v>25</v>
      </c>
      <c r="B27" s="7" t="str">
        <f>"张丽"</f>
        <v>张丽</v>
      </c>
      <c r="C27" s="7" t="s">
        <v>373</v>
      </c>
      <c r="D27" s="8" t="str">
        <f t="shared" si="3"/>
        <v>投促局-招商引资岗（高新）</v>
      </c>
      <c r="E27" s="7" t="str">
        <f>"202408240834"</f>
        <v>202408240834</v>
      </c>
      <c r="F27" s="7">
        <v>8</v>
      </c>
      <c r="G27" s="7">
        <v>34</v>
      </c>
      <c r="H27" s="7">
        <v>0</v>
      </c>
      <c r="I27" s="7">
        <v>0</v>
      </c>
      <c r="J27" s="7" t="s">
        <v>20</v>
      </c>
      <c r="K27" s="7"/>
      <c r="L27" s="7" t="s">
        <v>21</v>
      </c>
    </row>
    <row r="28" ht="27" customHeight="1" spans="1:12">
      <c r="A28" s="7">
        <v>26</v>
      </c>
      <c r="B28" s="7" t="str">
        <f>"车艳芳"</f>
        <v>车艳芳</v>
      </c>
      <c r="C28" s="7" t="s">
        <v>374</v>
      </c>
      <c r="D28" s="8" t="str">
        <f t="shared" si="3"/>
        <v>投促局-招商引资岗（高新）</v>
      </c>
      <c r="E28" s="7" t="str">
        <f>"202408240920"</f>
        <v>202408240920</v>
      </c>
      <c r="F28" s="7">
        <v>9</v>
      </c>
      <c r="G28" s="7">
        <v>20</v>
      </c>
      <c r="H28" s="7">
        <v>0</v>
      </c>
      <c r="I28" s="7">
        <v>0</v>
      </c>
      <c r="J28" s="7" t="s">
        <v>20</v>
      </c>
      <c r="K28" s="7"/>
      <c r="L28" s="7" t="s">
        <v>21</v>
      </c>
    </row>
    <row r="29" ht="27" customHeight="1" spans="1:12">
      <c r="A29" s="7">
        <v>27</v>
      </c>
      <c r="B29" s="7" t="str">
        <f>"毛佩贤"</f>
        <v>毛佩贤</v>
      </c>
      <c r="C29" s="7" t="s">
        <v>375</v>
      </c>
      <c r="D29" s="8" t="str">
        <f t="shared" si="3"/>
        <v>投促局-招商引资岗（高新）</v>
      </c>
      <c r="E29" s="7" t="str">
        <f>"202408240927"</f>
        <v>202408240927</v>
      </c>
      <c r="F29" s="7">
        <v>9</v>
      </c>
      <c r="G29" s="7">
        <v>27</v>
      </c>
      <c r="H29" s="7">
        <v>0</v>
      </c>
      <c r="I29" s="7">
        <v>0</v>
      </c>
      <c r="J29" s="7" t="s">
        <v>20</v>
      </c>
      <c r="K29" s="7"/>
      <c r="L29" s="7" t="s">
        <v>21</v>
      </c>
    </row>
    <row r="30" ht="27" customHeight="1" spans="1:12">
      <c r="A30" s="7">
        <v>28</v>
      </c>
      <c r="B30" s="7" t="str">
        <f>"甘凤玲"</f>
        <v>甘凤玲</v>
      </c>
      <c r="C30" s="7" t="s">
        <v>376</v>
      </c>
      <c r="D30" s="8" t="str">
        <f t="shared" si="3"/>
        <v>投促局-招商引资岗（高新）</v>
      </c>
      <c r="E30" s="7" t="str">
        <f>"202408240323"</f>
        <v>202408240323</v>
      </c>
      <c r="F30" s="7">
        <v>3</v>
      </c>
      <c r="G30" s="7">
        <v>23</v>
      </c>
      <c r="H30" s="7">
        <v>0</v>
      </c>
      <c r="I30" s="7">
        <v>0</v>
      </c>
      <c r="J30" s="7" t="s">
        <v>20</v>
      </c>
      <c r="K30" s="7"/>
      <c r="L30" s="7" t="s">
        <v>21</v>
      </c>
    </row>
    <row r="31" ht="27" customHeight="1" spans="1:12">
      <c r="A31" s="7">
        <v>29</v>
      </c>
      <c r="B31" s="7" t="str">
        <f>"刘瀚联"</f>
        <v>刘瀚联</v>
      </c>
      <c r="C31" s="7" t="s">
        <v>377</v>
      </c>
      <c r="D31" s="8" t="str">
        <f t="shared" si="3"/>
        <v>投促局-招商引资岗（高新）</v>
      </c>
      <c r="E31" s="7" t="str">
        <f>"202408240339"</f>
        <v>202408240339</v>
      </c>
      <c r="F31" s="7">
        <v>3</v>
      </c>
      <c r="G31" s="7">
        <v>39</v>
      </c>
      <c r="H31" s="7">
        <v>0</v>
      </c>
      <c r="I31" s="7">
        <v>0</v>
      </c>
      <c r="J31" s="7" t="s">
        <v>20</v>
      </c>
      <c r="K31" s="7"/>
      <c r="L31" s="7" t="s">
        <v>21</v>
      </c>
    </row>
  </sheetData>
  <mergeCells count="1">
    <mergeCell ref="A1:L1"/>
  </mergeCells>
  <pageMargins left="0.590277777777778" right="0" top="0.751388888888889" bottom="0.751388888888889" header="0.298611111111111" footer="0.298611111111111"/>
  <pageSetup paperSize="9" scale="8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办公室-综合管理岗（高新）</vt:lpstr>
      <vt:lpstr>党群部-宣传岗（高新）</vt:lpstr>
      <vt:lpstr>党群部-综合管理岗（高新）</vt:lpstr>
      <vt:lpstr>纪工委-综合管理岗（高新）</vt:lpstr>
      <vt:lpstr>社事局-劳动协调岗（高新）</vt:lpstr>
      <vt:lpstr>社事局-土地流转岗（高新）</vt:lpstr>
      <vt:lpstr>审批局-企业（工程）服务岗（高新） </vt:lpstr>
      <vt:lpstr>审批局-企业（经济）服务岗（高新）</vt:lpstr>
      <vt:lpstr>生态环境分局-综合管理岗</vt:lpstr>
      <vt:lpstr>投促局-招商引资岗（高新）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陈炬升</dc:creator>
  <cp:lastModifiedBy>没有头发</cp:lastModifiedBy>
  <dcterms:created xsi:type="dcterms:W3CDTF">2024-08-22T17:26:00Z</dcterms:created>
  <dcterms:modified xsi:type="dcterms:W3CDTF">2024-08-28T02:53:39Z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B16A579496E14359B1FA0A0DDA2C03EE_13</vt:lpwstr>
  </property>
  <property fmtid="{D5CDD505-2E9C-101B-9397-08002B2CF9AE}" pid="3" name="KSOProductBuildVer">
    <vt:lpwstr>2052-11.8.6.11719</vt:lpwstr>
  </property>
</Properties>
</file>